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activeTab="1"/>
  </bookViews>
  <sheets>
    <sheet name="Взносы" sheetId="1" r:id="rId1"/>
    <sheet name="свод по электричеству" sheetId="4" r:id="rId2"/>
    <sheet name="2017" sheetId="5" r:id="rId3"/>
    <sheet name="2016" sheetId="6" r:id="rId4"/>
    <sheet name="2015" sheetId="7" r:id="rId5"/>
    <sheet name="2014" sheetId="8" r:id="rId6"/>
    <sheet name="2013" sheetId="9" r:id="rId7"/>
    <sheet name="2012" sheetId="10" r:id="rId8"/>
    <sheet name="2011" sheetId="11" r:id="rId9"/>
  </sheets>
  <calcPr calcId="125725"/>
</workbook>
</file>

<file path=xl/calcChain.xml><?xml version="1.0" encoding="utf-8"?>
<calcChain xmlns="http://schemas.openxmlformats.org/spreadsheetml/2006/main">
  <c r="AB65" i="5"/>
  <c r="Z45"/>
  <c r="Z11"/>
  <c r="X24"/>
  <c r="X29"/>
  <c r="X87"/>
  <c r="X49"/>
  <c r="V93"/>
  <c r="V45"/>
  <c r="T93"/>
  <c r="T31"/>
  <c r="T29"/>
  <c r="T59"/>
  <c r="R24"/>
  <c r="R11"/>
  <c r="R29"/>
  <c r="R83"/>
  <c r="L11"/>
  <c r="L93"/>
  <c r="P32"/>
  <c r="N49"/>
  <c r="N62"/>
  <c r="N43"/>
  <c r="N99"/>
  <c r="N29"/>
  <c r="J101" i="4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1"/>
  <c r="J11" i="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C101" i="4" l="1"/>
  <c r="D13"/>
  <c r="D14"/>
  <c r="D15"/>
  <c r="D16"/>
  <c r="D17"/>
  <c r="D20"/>
  <c r="D21"/>
  <c r="D23"/>
  <c r="D24"/>
  <c r="D25"/>
  <c r="D28"/>
  <c r="D31"/>
  <c r="D40"/>
  <c r="D41"/>
  <c r="D47"/>
  <c r="D48"/>
  <c r="D49"/>
  <c r="D55"/>
  <c r="D56"/>
  <c r="D57"/>
  <c r="D59"/>
  <c r="D65"/>
  <c r="D73"/>
  <c r="D81"/>
  <c r="D88"/>
  <c r="D89"/>
  <c r="D96"/>
  <c r="D97"/>
  <c r="R11" i="10"/>
  <c r="Z11"/>
  <c r="AB11"/>
  <c r="D11" i="4" s="1"/>
  <c r="AB12" i="10"/>
  <c r="D12" i="4" s="1"/>
  <c r="AB13" i="10"/>
  <c r="AB14"/>
  <c r="AB15"/>
  <c r="AB16"/>
  <c r="AB17"/>
  <c r="AB18"/>
  <c r="D18" i="4" s="1"/>
  <c r="X19" i="10"/>
  <c r="AB19"/>
  <c r="D19" i="4" s="1"/>
  <c r="AB20" i="10"/>
  <c r="AB21"/>
  <c r="AB22"/>
  <c r="D22" i="4" s="1"/>
  <c r="T23" i="10"/>
  <c r="AB23" s="1"/>
  <c r="AB24"/>
  <c r="AB25"/>
  <c r="AB26"/>
  <c r="D26" i="4" s="1"/>
  <c r="AB27" i="10"/>
  <c r="D27" i="4" s="1"/>
  <c r="AB28" i="10"/>
  <c r="T29"/>
  <c r="AB29"/>
  <c r="D29" i="4" s="1"/>
  <c r="AB30" i="10"/>
  <c r="D30" i="4" s="1"/>
  <c r="AB31" i="10"/>
  <c r="T32"/>
  <c r="AB32"/>
  <c r="D32" i="4" s="1"/>
  <c r="T33" i="10"/>
  <c r="AB33" s="1"/>
  <c r="D33" i="4" s="1"/>
  <c r="AB34" i="10"/>
  <c r="D34" i="4" s="1"/>
  <c r="AB35" i="10"/>
  <c r="D35" i="4" s="1"/>
  <c r="AB36" i="10"/>
  <c r="D36" i="4" s="1"/>
  <c r="T37" i="10"/>
  <c r="AB37"/>
  <c r="D37" i="4" s="1"/>
  <c r="AB38" i="10"/>
  <c r="D38" i="4" s="1"/>
  <c r="AB39" i="10"/>
  <c r="D39" i="4" s="1"/>
  <c r="T40" i="10"/>
  <c r="AB40" s="1"/>
  <c r="T41"/>
  <c r="AB41" s="1"/>
  <c r="AB42"/>
  <c r="D42" i="4" s="1"/>
  <c r="AB43" i="10"/>
  <c r="D43" i="4" s="1"/>
  <c r="AB44" i="10"/>
  <c r="D44" i="4" s="1"/>
  <c r="P45" i="10"/>
  <c r="Z45"/>
  <c r="AB46"/>
  <c r="D46" i="4" s="1"/>
  <c r="AB47" i="10"/>
  <c r="AB48"/>
  <c r="T49"/>
  <c r="AB49"/>
  <c r="T50"/>
  <c r="AB50"/>
  <c r="D50" i="4" s="1"/>
  <c r="AB51" i="10"/>
  <c r="D51" i="4" s="1"/>
  <c r="N52" i="10"/>
  <c r="AB52" s="1"/>
  <c r="D52" i="4" s="1"/>
  <c r="R52" i="10"/>
  <c r="AB53"/>
  <c r="D53" i="4" s="1"/>
  <c r="AB54" i="10"/>
  <c r="D54" i="4" s="1"/>
  <c r="AB55" i="10"/>
  <c r="AB56"/>
  <c r="AB57"/>
  <c r="AB58"/>
  <c r="D58" i="4" s="1"/>
  <c r="AB59" i="10"/>
  <c r="T60"/>
  <c r="AB60"/>
  <c r="D60" i="4" s="1"/>
  <c r="AB61" i="10"/>
  <c r="D61" i="4" s="1"/>
  <c r="AB62" i="10"/>
  <c r="D62" i="4" s="1"/>
  <c r="AB63" i="10"/>
  <c r="D63" i="4" s="1"/>
  <c r="R64" i="10"/>
  <c r="AB64"/>
  <c r="D64" i="4" s="1"/>
  <c r="AB65" i="10"/>
  <c r="AB66"/>
  <c r="D66" i="4" s="1"/>
  <c r="AB67" i="10"/>
  <c r="D67" i="4" s="1"/>
  <c r="AB68" i="10"/>
  <c r="D68" i="4" s="1"/>
  <c r="AB69" i="10"/>
  <c r="D69" i="4" s="1"/>
  <c r="AB70" i="10"/>
  <c r="D70" i="4" s="1"/>
  <c r="AB71" i="10"/>
  <c r="D71" i="4" s="1"/>
  <c r="AB72" i="10"/>
  <c r="D72" i="4" s="1"/>
  <c r="AB73" i="10"/>
  <c r="AB74"/>
  <c r="D74" i="4" s="1"/>
  <c r="AB75" i="10"/>
  <c r="D75" i="4" s="1"/>
  <c r="AB76" i="10"/>
  <c r="D76" i="4" s="1"/>
  <c r="AB77" i="10"/>
  <c r="D77" i="4" s="1"/>
  <c r="AB78" i="10"/>
  <c r="D78" i="4" s="1"/>
  <c r="AB79" i="10"/>
  <c r="D79" i="4" s="1"/>
  <c r="AB80" i="10"/>
  <c r="D80" i="4" s="1"/>
  <c r="AB81" i="10"/>
  <c r="AB82"/>
  <c r="D82" i="4" s="1"/>
  <c r="P83" i="10"/>
  <c r="AB83"/>
  <c r="D83" i="4" s="1"/>
  <c r="AB84" i="10"/>
  <c r="D84" i="4" s="1"/>
  <c r="AB85" i="10"/>
  <c r="D85" i="4" s="1"/>
  <c r="AB86" i="10"/>
  <c r="D86" i="4" s="1"/>
  <c r="T87" i="10"/>
  <c r="AB87" s="1"/>
  <c r="D87" i="4" s="1"/>
  <c r="AB88" i="10"/>
  <c r="AB89"/>
  <c r="AB90"/>
  <c r="D90" i="4" s="1"/>
  <c r="AB91" i="10"/>
  <c r="D91" i="4" s="1"/>
  <c r="AB92" i="10"/>
  <c r="D92" i="4" s="1"/>
  <c r="AB93" i="10"/>
  <c r="D93" i="4" s="1"/>
  <c r="AB94" i="10"/>
  <c r="D94" i="4" s="1"/>
  <c r="AB95" i="10"/>
  <c r="D95" i="4" s="1"/>
  <c r="AB96" i="10"/>
  <c r="AB97"/>
  <c r="T98"/>
  <c r="AB98"/>
  <c r="D98" i="4" s="1"/>
  <c r="AB99" i="10"/>
  <c r="D99" i="4" s="1"/>
  <c r="AB100" i="10"/>
  <c r="D100" i="4" s="1"/>
  <c r="AB45" i="10" l="1"/>
  <c r="D45" i="4" s="1"/>
  <c r="D101" s="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1"/>
  <c r="L11" i="9"/>
  <c r="AB11" s="1"/>
  <c r="V11"/>
  <c r="Z11"/>
  <c r="AB12"/>
  <c r="AB13"/>
  <c r="AB14"/>
  <c r="AB15"/>
  <c r="AB16"/>
  <c r="AB17"/>
  <c r="AB18"/>
  <c r="V19"/>
  <c r="AB19"/>
  <c r="AB20"/>
  <c r="AB21"/>
  <c r="P22"/>
  <c r="AB22"/>
  <c r="P23"/>
  <c r="AB23"/>
  <c r="N24"/>
  <c r="P24"/>
  <c r="AB24" s="1"/>
  <c r="X24"/>
  <c r="Z24"/>
  <c r="N25"/>
  <c r="AB25"/>
  <c r="AB26"/>
  <c r="AB27"/>
  <c r="R28"/>
  <c r="AB28" s="1"/>
  <c r="AB29"/>
  <c r="AB30"/>
  <c r="AB31"/>
  <c r="N32"/>
  <c r="AB32" s="1"/>
  <c r="X32"/>
  <c r="AB33"/>
  <c r="AB34"/>
  <c r="AB35"/>
  <c r="AB36"/>
  <c r="AB37"/>
  <c r="AB38"/>
  <c r="AB39"/>
  <c r="L40"/>
  <c r="AB40" s="1"/>
  <c r="P40"/>
  <c r="T40"/>
  <c r="AB41"/>
  <c r="AB42"/>
  <c r="L43"/>
  <c r="AB43" s="1"/>
  <c r="R43"/>
  <c r="V43"/>
  <c r="AB44"/>
  <c r="AB45"/>
  <c r="AB46"/>
  <c r="P47"/>
  <c r="AB47"/>
  <c r="AB48"/>
  <c r="Z49"/>
  <c r="AB49"/>
  <c r="P50"/>
  <c r="AB50"/>
  <c r="AB51"/>
  <c r="V52"/>
  <c r="AB52"/>
  <c r="N53"/>
  <c r="AB53" s="1"/>
  <c r="AB54"/>
  <c r="AB55"/>
  <c r="AB56"/>
  <c r="T57"/>
  <c r="V57"/>
  <c r="AB57"/>
  <c r="AB58"/>
  <c r="N59"/>
  <c r="AB59"/>
  <c r="R60"/>
  <c r="AB60"/>
  <c r="AB61"/>
  <c r="AB62"/>
  <c r="AB63"/>
  <c r="AB64"/>
  <c r="AB65"/>
  <c r="AB66"/>
  <c r="AB67"/>
  <c r="AB68"/>
  <c r="AB69"/>
  <c r="AB70"/>
  <c r="AB71"/>
  <c r="AB72"/>
  <c r="AB73"/>
  <c r="AB74"/>
  <c r="AB75"/>
  <c r="N76"/>
  <c r="P76"/>
  <c r="T76"/>
  <c r="AB76"/>
  <c r="AB77"/>
  <c r="AB78"/>
  <c r="AB79"/>
  <c r="AB80"/>
  <c r="AB81"/>
  <c r="AB82"/>
  <c r="AB83"/>
  <c r="AB84"/>
  <c r="AB85"/>
  <c r="AB86"/>
  <c r="T87"/>
  <c r="AB87" s="1"/>
  <c r="AB88"/>
  <c r="AB89"/>
  <c r="AB90"/>
  <c r="AB91"/>
  <c r="AB92"/>
  <c r="AB93"/>
  <c r="AB94"/>
  <c r="AB95"/>
  <c r="AB96"/>
  <c r="AB97"/>
  <c r="AB98"/>
  <c r="AB99"/>
  <c r="AB100"/>
  <c r="E101" i="4" l="1"/>
  <c r="F12"/>
  <c r="F13"/>
  <c r="F15"/>
  <c r="F16"/>
  <c r="F17"/>
  <c r="F18"/>
  <c r="F19"/>
  <c r="F22"/>
  <c r="F23"/>
  <c r="F24"/>
  <c r="F25"/>
  <c r="F26"/>
  <c r="F27"/>
  <c r="F28"/>
  <c r="F29"/>
  <c r="F31"/>
  <c r="F32"/>
  <c r="F33"/>
  <c r="F34"/>
  <c r="F35"/>
  <c r="F36"/>
  <c r="F37"/>
  <c r="F38"/>
  <c r="F39"/>
  <c r="F40"/>
  <c r="F41"/>
  <c r="F42"/>
  <c r="F43"/>
  <c r="F45"/>
  <c r="F46"/>
  <c r="F47"/>
  <c r="F48"/>
  <c r="F49"/>
  <c r="F50"/>
  <c r="F51"/>
  <c r="F52"/>
  <c r="F53"/>
  <c r="F54"/>
  <c r="F55"/>
  <c r="F57"/>
  <c r="F58"/>
  <c r="F59"/>
  <c r="F60"/>
  <c r="F61"/>
  <c r="F62"/>
  <c r="F63"/>
  <c r="F65"/>
  <c r="F66"/>
  <c r="F67"/>
  <c r="F68"/>
  <c r="F69"/>
  <c r="F70"/>
  <c r="F71"/>
  <c r="F72"/>
  <c r="F73"/>
  <c r="F74"/>
  <c r="F75"/>
  <c r="F78"/>
  <c r="F79"/>
  <c r="F80"/>
  <c r="F82"/>
  <c r="F83"/>
  <c r="F84"/>
  <c r="F86"/>
  <c r="F87"/>
  <c r="F88"/>
  <c r="F89"/>
  <c r="F90"/>
  <c r="F91"/>
  <c r="F92"/>
  <c r="F93"/>
  <c r="F94"/>
  <c r="F95"/>
  <c r="F96"/>
  <c r="F97"/>
  <c r="F99"/>
  <c r="F100"/>
  <c r="F11"/>
  <c r="L11" i="8"/>
  <c r="P11"/>
  <c r="Z11"/>
  <c r="AB11"/>
  <c r="AB12"/>
  <c r="AB13"/>
  <c r="AB14"/>
  <c r="F14" i="4" s="1"/>
  <c r="P15" i="8"/>
  <c r="V15"/>
  <c r="AB15"/>
  <c r="AB16"/>
  <c r="AB17"/>
  <c r="AB18"/>
  <c r="N19"/>
  <c r="AB19" s="1"/>
  <c r="AB20"/>
  <c r="F20" i="4" s="1"/>
  <c r="AB21" i="8"/>
  <c r="F21" i="4" s="1"/>
  <c r="H22" i="8"/>
  <c r="AB22"/>
  <c r="R23"/>
  <c r="AB23" s="1"/>
  <c r="F24"/>
  <c r="AB24" s="1"/>
  <c r="R24"/>
  <c r="Z24"/>
  <c r="AB25"/>
  <c r="AB26"/>
  <c r="AB27"/>
  <c r="AB28"/>
  <c r="AB29"/>
  <c r="AB30"/>
  <c r="F30" i="4" s="1"/>
  <c r="AB31" i="8"/>
  <c r="H32"/>
  <c r="P32"/>
  <c r="T32"/>
  <c r="AB32" s="1"/>
  <c r="Z32"/>
  <c r="AB33"/>
  <c r="AB34"/>
  <c r="AB35"/>
  <c r="AB36"/>
  <c r="AB37"/>
  <c r="AB38"/>
  <c r="AB39"/>
  <c r="AB40"/>
  <c r="AB41"/>
  <c r="AB42"/>
  <c r="P43"/>
  <c r="AB43" s="1"/>
  <c r="AB44"/>
  <c r="F44" i="4" s="1"/>
  <c r="L45" i="8"/>
  <c r="AB45"/>
  <c r="AB46"/>
  <c r="AB47"/>
  <c r="AB48"/>
  <c r="V49"/>
  <c r="AB49" s="1"/>
  <c r="AB50"/>
  <c r="AB51"/>
  <c r="AB52"/>
  <c r="N53"/>
  <c r="AB53" s="1"/>
  <c r="R53"/>
  <c r="AB54"/>
  <c r="AB55"/>
  <c r="AB56"/>
  <c r="F56" i="4" s="1"/>
  <c r="R57" i="8"/>
  <c r="AB57"/>
  <c r="AB58"/>
  <c r="R59"/>
  <c r="AB59" s="1"/>
  <c r="P60"/>
  <c r="T60"/>
  <c r="AB60"/>
  <c r="AB61"/>
  <c r="T62"/>
  <c r="V62"/>
  <c r="AB62"/>
  <c r="AB63"/>
  <c r="AB64"/>
  <c r="F64" i="4" s="1"/>
  <c r="AB65" i="8"/>
  <c r="AB66"/>
  <c r="AB67"/>
  <c r="AB68"/>
  <c r="AB69"/>
  <c r="AB70"/>
  <c r="AB71"/>
  <c r="AB72"/>
  <c r="AB73"/>
  <c r="P74"/>
  <c r="AB74"/>
  <c r="P75"/>
  <c r="AB75"/>
  <c r="AB76"/>
  <c r="F76" i="4" s="1"/>
  <c r="AB77" i="8"/>
  <c r="F77" i="4" s="1"/>
  <c r="AB78" i="8"/>
  <c r="AB79"/>
  <c r="AB80"/>
  <c r="AB81"/>
  <c r="F81" i="4" s="1"/>
  <c r="AB82" i="8"/>
  <c r="P83"/>
  <c r="AB83"/>
  <c r="AB84"/>
  <c r="AB85"/>
  <c r="F85" i="4" s="1"/>
  <c r="AB86" i="8"/>
  <c r="AB87"/>
  <c r="R88"/>
  <c r="X88"/>
  <c r="AB88"/>
  <c r="AB89"/>
  <c r="AB90"/>
  <c r="AB91"/>
  <c r="AB92"/>
  <c r="N93"/>
  <c r="Z93"/>
  <c r="AB93"/>
  <c r="AB94"/>
  <c r="AB95"/>
  <c r="AB96"/>
  <c r="P97"/>
  <c r="AB97" s="1"/>
  <c r="AB98"/>
  <c r="F98" i="4" s="1"/>
  <c r="AB99" i="8"/>
  <c r="AB100"/>
  <c r="F101" i="4" l="1"/>
  <c r="G13"/>
  <c r="G16"/>
  <c r="G17"/>
  <c r="G18"/>
  <c r="G19"/>
  <c r="G22"/>
  <c r="G23"/>
  <c r="G24"/>
  <c r="G26"/>
  <c r="G27"/>
  <c r="G28"/>
  <c r="G29"/>
  <c r="G31"/>
  <c r="G32"/>
  <c r="G33"/>
  <c r="G34"/>
  <c r="G35"/>
  <c r="G36"/>
  <c r="G37"/>
  <c r="G38"/>
  <c r="G39"/>
  <c r="G40"/>
  <c r="G42"/>
  <c r="G43"/>
  <c r="G45"/>
  <c r="G47"/>
  <c r="G48"/>
  <c r="G49"/>
  <c r="G50"/>
  <c r="G51"/>
  <c r="G52"/>
  <c r="G53"/>
  <c r="G54"/>
  <c r="G55"/>
  <c r="G57"/>
  <c r="G58"/>
  <c r="G59"/>
  <c r="G60"/>
  <c r="G61"/>
  <c r="G62"/>
  <c r="G63"/>
  <c r="G65"/>
  <c r="G66"/>
  <c r="G68"/>
  <c r="G69"/>
  <c r="G70"/>
  <c r="G71"/>
  <c r="G72"/>
  <c r="G73"/>
  <c r="G74"/>
  <c r="G75"/>
  <c r="G78"/>
  <c r="G79"/>
  <c r="G80"/>
  <c r="G82"/>
  <c r="G83"/>
  <c r="G84"/>
  <c r="G86"/>
  <c r="G87"/>
  <c r="G88"/>
  <c r="G89"/>
  <c r="G90"/>
  <c r="G91"/>
  <c r="G92"/>
  <c r="G93"/>
  <c r="G94"/>
  <c r="G95"/>
  <c r="G96"/>
  <c r="G97"/>
  <c r="G99"/>
  <c r="G100"/>
  <c r="G11"/>
  <c r="O11" i="7"/>
  <c r="S11"/>
  <c r="AC11"/>
  <c r="AC12"/>
  <c r="G12" i="4" s="1"/>
  <c r="AC13" i="7"/>
  <c r="AC14"/>
  <c r="G14" i="4" s="1"/>
  <c r="AC15" i="7"/>
  <c r="G15" i="4" s="1"/>
  <c r="AC16" i="7"/>
  <c r="AC17"/>
  <c r="AC18"/>
  <c r="AC19"/>
  <c r="AC20"/>
  <c r="G20" i="4" s="1"/>
  <c r="AC21" i="7"/>
  <c r="G21" i="4" s="1"/>
  <c r="AC22" i="7"/>
  <c r="AC23"/>
  <c r="S24"/>
  <c r="AC24" s="1"/>
  <c r="AC25"/>
  <c r="G25" i="4" s="1"/>
  <c r="AC26" i="7"/>
  <c r="O27"/>
  <c r="S27"/>
  <c r="AC27"/>
  <c r="AC28"/>
  <c r="AC29"/>
  <c r="AC30"/>
  <c r="G30" i="4" s="1"/>
  <c r="O31" i="7"/>
  <c r="AC31"/>
  <c r="I32"/>
  <c r="AC32" s="1"/>
  <c r="K32"/>
  <c r="Q32"/>
  <c r="AC33"/>
  <c r="AC34"/>
  <c r="AC35"/>
  <c r="AC36"/>
  <c r="AC37"/>
  <c r="AC38"/>
  <c r="AC39"/>
  <c r="O40"/>
  <c r="S40"/>
  <c r="AC40" s="1"/>
  <c r="AC41"/>
  <c r="G41" i="4" s="1"/>
  <c r="AC42" i="7"/>
  <c r="K43"/>
  <c r="O43"/>
  <c r="AC43"/>
  <c r="AC44"/>
  <c r="G44" i="4" s="1"/>
  <c r="G45" i="7"/>
  <c r="M45"/>
  <c r="S45"/>
  <c r="AC45"/>
  <c r="AC46"/>
  <c r="G46" i="4" s="1"/>
  <c r="AC47" i="7"/>
  <c r="K48"/>
  <c r="AC48" s="1"/>
  <c r="AC49"/>
  <c r="AC50"/>
  <c r="AC51"/>
  <c r="AC52"/>
  <c r="AC53"/>
  <c r="AC54"/>
  <c r="AC55"/>
  <c r="AC56"/>
  <c r="G56" i="4" s="1"/>
  <c r="O57" i="7"/>
  <c r="S57"/>
  <c r="AC57"/>
  <c r="S58"/>
  <c r="AC58"/>
  <c r="AC59"/>
  <c r="AC60"/>
  <c r="AC61"/>
  <c r="AC62"/>
  <c r="AC63"/>
  <c r="AC64"/>
  <c r="G64" i="4" s="1"/>
  <c r="AC65" i="7"/>
  <c r="AC66"/>
  <c r="AC67"/>
  <c r="G67" i="4" s="1"/>
  <c r="AC68" i="7"/>
  <c r="AC69"/>
  <c r="AC70"/>
  <c r="AC71"/>
  <c r="AC72"/>
  <c r="AC73"/>
  <c r="AC74"/>
  <c r="S75"/>
  <c r="AC75"/>
  <c r="AC76"/>
  <c r="G76" i="4" s="1"/>
  <c r="AC77" i="7"/>
  <c r="G77" i="4" s="1"/>
  <c r="AC78" i="7"/>
  <c r="AC79"/>
  <c r="AC80"/>
  <c r="AC81"/>
  <c r="G81" i="4" s="1"/>
  <c r="AC82" i="7"/>
  <c r="AC83"/>
  <c r="AC84"/>
  <c r="AC85"/>
  <c r="G85" i="4" s="1"/>
  <c r="AC86" i="7"/>
  <c r="Q87"/>
  <c r="S87"/>
  <c r="AC87"/>
  <c r="AC88"/>
  <c r="AC89"/>
  <c r="AC90"/>
  <c r="AC91"/>
  <c r="AC92"/>
  <c r="K93"/>
  <c r="Q93"/>
  <c r="AC93"/>
  <c r="AC94"/>
  <c r="AC95"/>
  <c r="AC96"/>
  <c r="S97"/>
  <c r="AC97"/>
  <c r="AC98"/>
  <c r="G98" i="4" s="1"/>
  <c r="AC99" i="7"/>
  <c r="AC100"/>
  <c r="G101" i="4" l="1"/>
  <c r="H12"/>
  <c r="H13"/>
  <c r="H16"/>
  <c r="H17"/>
  <c r="H18"/>
  <c r="H19"/>
  <c r="H22"/>
  <c r="H23"/>
  <c r="H24"/>
  <c r="H26"/>
  <c r="H27"/>
  <c r="H28"/>
  <c r="H29"/>
  <c r="H31"/>
  <c r="H32"/>
  <c r="H33"/>
  <c r="H34"/>
  <c r="H35"/>
  <c r="H36"/>
  <c r="H37"/>
  <c r="H38"/>
  <c r="H39"/>
  <c r="H40"/>
  <c r="H42"/>
  <c r="H43"/>
  <c r="H45"/>
  <c r="H46"/>
  <c r="H47"/>
  <c r="H48"/>
  <c r="H49"/>
  <c r="H50"/>
  <c r="H51"/>
  <c r="H52"/>
  <c r="H53"/>
  <c r="H54"/>
  <c r="H55"/>
  <c r="H58"/>
  <c r="H59"/>
  <c r="H60"/>
  <c r="H61"/>
  <c r="H62"/>
  <c r="H63"/>
  <c r="H65"/>
  <c r="H66"/>
  <c r="H67"/>
  <c r="H68"/>
  <c r="H69"/>
  <c r="H70"/>
  <c r="H71"/>
  <c r="H72"/>
  <c r="H73"/>
  <c r="H74"/>
  <c r="H75"/>
  <c r="H78"/>
  <c r="H79"/>
  <c r="H80"/>
  <c r="H82"/>
  <c r="H83"/>
  <c r="H84"/>
  <c r="H86"/>
  <c r="H87"/>
  <c r="H88"/>
  <c r="H89"/>
  <c r="H90"/>
  <c r="H91"/>
  <c r="H92"/>
  <c r="H94"/>
  <c r="H95"/>
  <c r="H96"/>
  <c r="H97"/>
  <c r="H99"/>
  <c r="H100"/>
  <c r="H11"/>
  <c r="H11" i="6"/>
  <c r="N11"/>
  <c r="AB11"/>
  <c r="AB12"/>
  <c r="AB13"/>
  <c r="AB14"/>
  <c r="H14" i="4" s="1"/>
  <c r="AB15" i="6"/>
  <c r="H15" i="4" s="1"/>
  <c r="AB16" i="6"/>
  <c r="AB17"/>
  <c r="AB18"/>
  <c r="R19"/>
  <c r="AB19" s="1"/>
  <c r="AB20"/>
  <c r="H20" i="4" s="1"/>
  <c r="AB21" i="6"/>
  <c r="H21" i="4" s="1"/>
  <c r="AB22" i="6"/>
  <c r="AB23"/>
  <c r="N24"/>
  <c r="AB24" s="1"/>
  <c r="AB25"/>
  <c r="H25" i="4" s="1"/>
  <c r="AB26" i="6"/>
  <c r="P27"/>
  <c r="AB27"/>
  <c r="AB28"/>
  <c r="AB29"/>
  <c r="AB30"/>
  <c r="H30" i="4" s="1"/>
  <c r="N31" i="6"/>
  <c r="AB31"/>
  <c r="F32"/>
  <c r="L32"/>
  <c r="AB32"/>
  <c r="AB33"/>
  <c r="AB34"/>
  <c r="AB35"/>
  <c r="AB36"/>
  <c r="AB37"/>
  <c r="AB38"/>
  <c r="AB39"/>
  <c r="N40"/>
  <c r="AB40" s="1"/>
  <c r="AB41"/>
  <c r="H41" i="4" s="1"/>
  <c r="AB42" i="6"/>
  <c r="L43"/>
  <c r="AB43" s="1"/>
  <c r="AB44"/>
  <c r="H44" i="4" s="1"/>
  <c r="H45" i="6"/>
  <c r="T45"/>
  <c r="AB46"/>
  <c r="AB47"/>
  <c r="AB48"/>
  <c r="N49"/>
  <c r="AB49" s="1"/>
  <c r="V49"/>
  <c r="AB50"/>
  <c r="AB51"/>
  <c r="AB52"/>
  <c r="AB53"/>
  <c r="AB54"/>
  <c r="T55"/>
  <c r="AB55" s="1"/>
  <c r="AB56"/>
  <c r="H56" i="4" s="1"/>
  <c r="AB57" i="6"/>
  <c r="H57" i="4" s="1"/>
  <c r="AB58" i="6"/>
  <c r="AB59"/>
  <c r="AB60"/>
  <c r="AB61"/>
  <c r="J62"/>
  <c r="AB62" s="1"/>
  <c r="AB63"/>
  <c r="AB64"/>
  <c r="H64" i="4" s="1"/>
  <c r="AB65" i="6"/>
  <c r="AB66"/>
  <c r="AB67"/>
  <c r="AB68"/>
  <c r="AB69"/>
  <c r="AB70"/>
  <c r="AB71"/>
  <c r="AB72"/>
  <c r="AB73"/>
  <c r="AB74"/>
  <c r="AB75"/>
  <c r="AB76"/>
  <c r="H76" i="4" s="1"/>
  <c r="AB77" i="6"/>
  <c r="H77" i="4" s="1"/>
  <c r="AB78" i="6"/>
  <c r="AB79"/>
  <c r="AB80"/>
  <c r="AB81"/>
  <c r="H81" i="4" s="1"/>
  <c r="AB82" i="6"/>
  <c r="AB83"/>
  <c r="AB84"/>
  <c r="AB85"/>
  <c r="H85" i="4" s="1"/>
  <c r="AB86" i="6"/>
  <c r="N87"/>
  <c r="AB87" s="1"/>
  <c r="R87"/>
  <c r="AB88"/>
  <c r="AB89"/>
  <c r="AB90"/>
  <c r="AB91"/>
  <c r="AB92"/>
  <c r="D93"/>
  <c r="N93"/>
  <c r="AB94"/>
  <c r="AB95"/>
  <c r="AB96"/>
  <c r="N97"/>
  <c r="AB97" s="1"/>
  <c r="AB98"/>
  <c r="H98" i="4" s="1"/>
  <c r="N99" i="6"/>
  <c r="AB99" s="1"/>
  <c r="AB100"/>
  <c r="AB93" l="1"/>
  <c r="H93" i="4" s="1"/>
  <c r="H101" s="1"/>
  <c r="AB45" i="6"/>
  <c r="D11" i="5"/>
  <c r="H11"/>
  <c r="AB11" s="1"/>
  <c r="I11" i="4" s="1"/>
  <c r="AB12" i="5"/>
  <c r="I12" i="4" s="1"/>
  <c r="K12" s="1"/>
  <c r="AB13" i="5"/>
  <c r="I13" i="4" s="1"/>
  <c r="K13" s="1"/>
  <c r="AB14" i="5"/>
  <c r="I14" i="4" s="1"/>
  <c r="K14" s="1"/>
  <c r="AB15" i="5"/>
  <c r="I15" i="4" s="1"/>
  <c r="K15" s="1"/>
  <c r="AB16" i="5"/>
  <c r="I16" i="4" s="1"/>
  <c r="K16" s="1"/>
  <c r="AB17" i="5"/>
  <c r="I17" i="4" s="1"/>
  <c r="K17" s="1"/>
  <c r="AB18" i="5"/>
  <c r="I18" i="4" s="1"/>
  <c r="K18" s="1"/>
  <c r="AB19" i="5"/>
  <c r="I19" i="4" s="1"/>
  <c r="K19" s="1"/>
  <c r="AB20" i="5"/>
  <c r="I20" i="4" s="1"/>
  <c r="K20" s="1"/>
  <c r="AB21" i="5"/>
  <c r="I21" i="4" s="1"/>
  <c r="K21" s="1"/>
  <c r="AB22" i="5"/>
  <c r="I22" i="4" s="1"/>
  <c r="K22" s="1"/>
  <c r="AB23" i="5"/>
  <c r="I23" i="4" s="1"/>
  <c r="K23" s="1"/>
  <c r="AB24" i="5"/>
  <c r="I24" i="4" s="1"/>
  <c r="K24" s="1"/>
  <c r="AB25" i="5"/>
  <c r="I25" i="4" s="1"/>
  <c r="K25" s="1"/>
  <c r="AB26" i="5"/>
  <c r="I26" i="4" s="1"/>
  <c r="K26" s="1"/>
  <c r="AB27" i="5"/>
  <c r="I27" i="4" s="1"/>
  <c r="K27" s="1"/>
  <c r="AB28" i="5"/>
  <c r="I28" i="4" s="1"/>
  <c r="K28" s="1"/>
  <c r="AB29" i="5"/>
  <c r="I29" i="4" s="1"/>
  <c r="K29" s="1"/>
  <c r="AB30" i="5"/>
  <c r="I30" i="4" s="1"/>
  <c r="K30" s="1"/>
  <c r="AB31" i="5"/>
  <c r="I31" i="4" s="1"/>
  <c r="K31" s="1"/>
  <c r="D32" i="5"/>
  <c r="AB32" s="1"/>
  <c r="I32" i="4" s="1"/>
  <c r="K32" s="1"/>
  <c r="H32" i="5"/>
  <c r="AB33"/>
  <c r="I33" i="4" s="1"/>
  <c r="K33" s="1"/>
  <c r="AB34" i="5"/>
  <c r="I34" i="4" s="1"/>
  <c r="K34" s="1"/>
  <c r="AB35" i="5"/>
  <c r="I35" i="4" s="1"/>
  <c r="K35" s="1"/>
  <c r="AB36" i="5"/>
  <c r="I36" i="4" s="1"/>
  <c r="K36" s="1"/>
  <c r="AB37" i="5"/>
  <c r="I37" i="4" s="1"/>
  <c r="K37" s="1"/>
  <c r="AB38" i="5"/>
  <c r="I38" i="4" s="1"/>
  <c r="K38" s="1"/>
  <c r="AB39" i="5"/>
  <c r="I39" i="4" s="1"/>
  <c r="K39" s="1"/>
  <c r="AB40" i="5"/>
  <c r="I40" i="4" s="1"/>
  <c r="K40" s="1"/>
  <c r="AB41" i="5"/>
  <c r="I41" i="4" s="1"/>
  <c r="K41" s="1"/>
  <c r="AB42" i="5"/>
  <c r="I42" i="4" s="1"/>
  <c r="K42" s="1"/>
  <c r="AB43" i="5"/>
  <c r="I43" i="4" s="1"/>
  <c r="K43" s="1"/>
  <c r="AB44" i="5"/>
  <c r="I44" i="4" s="1"/>
  <c r="K44" s="1"/>
  <c r="H45" i="5"/>
  <c r="AB45"/>
  <c r="I45" i="4" s="1"/>
  <c r="K45" s="1"/>
  <c r="AB46" i="5"/>
  <c r="I46" i="4" s="1"/>
  <c r="K46" s="1"/>
  <c r="AB47" i="5"/>
  <c r="I47" i="4" s="1"/>
  <c r="K47" s="1"/>
  <c r="J48" i="5"/>
  <c r="AB48"/>
  <c r="I48" i="4" s="1"/>
  <c r="K48" s="1"/>
  <c r="AB49" i="5"/>
  <c r="I49" i="4" s="1"/>
  <c r="K49" s="1"/>
  <c r="AB50" i="5"/>
  <c r="I50" i="4" s="1"/>
  <c r="K50" s="1"/>
  <c r="AB51" i="5"/>
  <c r="I51" i="4" s="1"/>
  <c r="K51" s="1"/>
  <c r="AB52" i="5"/>
  <c r="I52" i="4" s="1"/>
  <c r="K52" s="1"/>
  <c r="AB53" i="5"/>
  <c r="I53" i="4" s="1"/>
  <c r="K53" s="1"/>
  <c r="AB54" i="5"/>
  <c r="I54" i="4" s="1"/>
  <c r="K54" s="1"/>
  <c r="AB55" i="5"/>
  <c r="I55" i="4" s="1"/>
  <c r="K55" s="1"/>
  <c r="AB56" i="5"/>
  <c r="I56" i="4" s="1"/>
  <c r="K56" s="1"/>
  <c r="AB57" i="5"/>
  <c r="I57" i="4" s="1"/>
  <c r="K57" s="1"/>
  <c r="AB58" i="5"/>
  <c r="I58" i="4" s="1"/>
  <c r="K58" s="1"/>
  <c r="AB59" i="5"/>
  <c r="I59" i="4" s="1"/>
  <c r="K59" s="1"/>
  <c r="AB60" i="5"/>
  <c r="I60" i="4" s="1"/>
  <c r="K60" s="1"/>
  <c r="AB61" i="5"/>
  <c r="I61" i="4" s="1"/>
  <c r="K61" s="1"/>
  <c r="AB62" i="5"/>
  <c r="I62" i="4" s="1"/>
  <c r="K62" s="1"/>
  <c r="AB63" i="5"/>
  <c r="I63" i="4" s="1"/>
  <c r="K63" s="1"/>
  <c r="AB64" i="5"/>
  <c r="I64" i="4" s="1"/>
  <c r="K64" s="1"/>
  <c r="I65"/>
  <c r="K65" s="1"/>
  <c r="AB66" i="5"/>
  <c r="I66" i="4" s="1"/>
  <c r="K66" s="1"/>
  <c r="AB67" i="5"/>
  <c r="I67" i="4" s="1"/>
  <c r="K67" s="1"/>
  <c r="AB68" i="5"/>
  <c r="I68" i="4" s="1"/>
  <c r="K68" s="1"/>
  <c r="AB69" i="5"/>
  <c r="I69" i="4" s="1"/>
  <c r="K69" s="1"/>
  <c r="AB70" i="5"/>
  <c r="I70" i="4" s="1"/>
  <c r="K70" s="1"/>
  <c r="AB71" i="5"/>
  <c r="I71" i="4" s="1"/>
  <c r="K71" s="1"/>
  <c r="AB72" i="5"/>
  <c r="I72" i="4" s="1"/>
  <c r="K72" s="1"/>
  <c r="AB73" i="5"/>
  <c r="I73" i="4" s="1"/>
  <c r="K73" s="1"/>
  <c r="AB74" i="5"/>
  <c r="I74" i="4" s="1"/>
  <c r="K74" s="1"/>
  <c r="AB75" i="5"/>
  <c r="I75" i="4" s="1"/>
  <c r="K75" s="1"/>
  <c r="AB76" i="5"/>
  <c r="I76" i="4" s="1"/>
  <c r="K76" s="1"/>
  <c r="AB77" i="5"/>
  <c r="I77" i="4" s="1"/>
  <c r="K77" s="1"/>
  <c r="AB78" i="5"/>
  <c r="I78" i="4" s="1"/>
  <c r="K78" s="1"/>
  <c r="AB79" i="5"/>
  <c r="I79" i="4" s="1"/>
  <c r="K79" s="1"/>
  <c r="AB80" i="5"/>
  <c r="I80" i="4" s="1"/>
  <c r="K80" s="1"/>
  <c r="AB81" i="5"/>
  <c r="I81" i="4" s="1"/>
  <c r="K81" s="1"/>
  <c r="AB82" i="5"/>
  <c r="I82" i="4" s="1"/>
  <c r="K82" s="1"/>
  <c r="AB83" i="5"/>
  <c r="I83" i="4" s="1"/>
  <c r="K83" s="1"/>
  <c r="AB84" i="5"/>
  <c r="I84" i="4" s="1"/>
  <c r="K84" s="1"/>
  <c r="AB85" i="5"/>
  <c r="I85" i="4" s="1"/>
  <c r="K85" s="1"/>
  <c r="AB86" i="5"/>
  <c r="I86" i="4" s="1"/>
  <c r="K86" s="1"/>
  <c r="AB87" i="5"/>
  <c r="I87" i="4" s="1"/>
  <c r="K87" s="1"/>
  <c r="AB88" i="5"/>
  <c r="I88" i="4" s="1"/>
  <c r="K88" s="1"/>
  <c r="AB89" i="5"/>
  <c r="I89" i="4" s="1"/>
  <c r="K89" s="1"/>
  <c r="AB90" i="5"/>
  <c r="I90" i="4" s="1"/>
  <c r="K90" s="1"/>
  <c r="AB91" i="5"/>
  <c r="I91" i="4" s="1"/>
  <c r="K91" s="1"/>
  <c r="AB92" i="5"/>
  <c r="I92" i="4" s="1"/>
  <c r="K92" s="1"/>
  <c r="AB93" i="5"/>
  <c r="I93" i="4" s="1"/>
  <c r="AB94" i="5"/>
  <c r="I94" i="4" s="1"/>
  <c r="K94" s="1"/>
  <c r="AB95" i="5"/>
  <c r="I95" i="4" s="1"/>
  <c r="K95" s="1"/>
  <c r="AB96" i="5"/>
  <c r="I96" i="4" s="1"/>
  <c r="K96" s="1"/>
  <c r="AB97" i="5"/>
  <c r="I97" i="4" s="1"/>
  <c r="K97" s="1"/>
  <c r="AB98" i="5"/>
  <c r="I98" i="4" s="1"/>
  <c r="K98" s="1"/>
  <c r="AB99" i="5"/>
  <c r="I99" i="4" s="1"/>
  <c r="K99" s="1"/>
  <c r="AB100" i="5"/>
  <c r="I100" i="4" s="1"/>
  <c r="K100" s="1"/>
  <c r="F38" i="1"/>
  <c r="L45"/>
  <c r="L73"/>
  <c r="L61"/>
  <c r="K93" i="4" l="1"/>
  <c r="K11"/>
  <c r="I101"/>
  <c r="N6" i="1"/>
  <c r="N10"/>
  <c r="N16"/>
  <c r="N18"/>
  <c r="N20"/>
  <c r="N32"/>
  <c r="N38"/>
  <c r="N44"/>
  <c r="N49"/>
  <c r="N51"/>
  <c r="N55"/>
  <c r="N56"/>
  <c r="N60"/>
  <c r="N62"/>
  <c r="N70"/>
  <c r="N71"/>
  <c r="N79"/>
  <c r="N84"/>
  <c r="N90"/>
  <c r="F16"/>
  <c r="L89"/>
  <c r="F55"/>
  <c r="F88"/>
  <c r="F85"/>
  <c r="N85" s="1"/>
  <c r="F82"/>
  <c r="F75"/>
  <c r="N75" s="1"/>
  <c r="F72"/>
  <c r="D72"/>
  <c r="F69"/>
  <c r="F53"/>
  <c r="N53" s="1"/>
  <c r="F52"/>
  <c r="N52" s="1"/>
  <c r="F42"/>
  <c r="F36"/>
  <c r="N36" s="1"/>
  <c r="F35"/>
  <c r="N35" s="1"/>
  <c r="F32"/>
  <c r="F29"/>
  <c r="N29" s="1"/>
  <c r="F27"/>
  <c r="N27" s="1"/>
  <c r="F22"/>
  <c r="N22" s="1"/>
  <c r="F21"/>
  <c r="N21" s="1"/>
  <c r="F15"/>
  <c r="F14"/>
  <c r="N14" s="1"/>
  <c r="F12"/>
  <c r="N12" s="1"/>
  <c r="F8"/>
  <c r="F4"/>
  <c r="N4" s="1"/>
  <c r="F3"/>
  <c r="N3" s="1"/>
  <c r="L83"/>
  <c r="L80"/>
  <c r="L15"/>
  <c r="L31"/>
  <c r="J30"/>
  <c r="N30" s="1"/>
  <c r="J73"/>
  <c r="H25"/>
  <c r="N25" s="1"/>
  <c r="H46"/>
  <c r="N46" s="1"/>
  <c r="F23"/>
  <c r="N23" s="1"/>
  <c r="F58"/>
  <c r="N58" s="1"/>
  <c r="D69"/>
  <c r="D26"/>
  <c r="N26" s="1"/>
  <c r="D13"/>
  <c r="N13" s="1"/>
  <c r="D64"/>
  <c r="N64" s="1"/>
  <c r="D77"/>
  <c r="D73"/>
  <c r="D89"/>
  <c r="D63"/>
  <c r="N63" s="1"/>
  <c r="D78"/>
  <c r="D57"/>
  <c r="N57" s="1"/>
  <c r="H28"/>
  <c r="F28"/>
  <c r="H77"/>
  <c r="J59"/>
  <c r="J80"/>
  <c r="J33"/>
  <c r="N33" s="1"/>
  <c r="J19"/>
  <c r="J40"/>
  <c r="H87"/>
  <c r="J32"/>
  <c r="H54"/>
  <c r="J87"/>
  <c r="J82"/>
  <c r="H78"/>
  <c r="H88"/>
  <c r="H40"/>
  <c r="H73"/>
  <c r="H37"/>
  <c r="N37" s="1"/>
  <c r="H59"/>
  <c r="H19"/>
  <c r="H65"/>
  <c r="N65" s="1"/>
  <c r="H67"/>
  <c r="N67" s="1"/>
  <c r="H7"/>
  <c r="N7" s="1"/>
  <c r="H8"/>
  <c r="H47"/>
  <c r="N47" s="1"/>
  <c r="H34"/>
  <c r="N34" s="1"/>
  <c r="H48"/>
  <c r="N48" s="1"/>
  <c r="H31"/>
  <c r="H11"/>
  <c r="N11" s="1"/>
  <c r="H74"/>
  <c r="N74" s="1"/>
  <c r="F78"/>
  <c r="F50"/>
  <c r="N50" s="1"/>
  <c r="F5"/>
  <c r="N5" s="1"/>
  <c r="F17"/>
  <c r="N17" s="1"/>
  <c r="F41"/>
  <c r="N41" s="1"/>
  <c r="F40"/>
  <c r="F61"/>
  <c r="N61" s="1"/>
  <c r="F80"/>
  <c r="N80" s="1"/>
  <c r="F73"/>
  <c r="F76"/>
  <c r="N76" s="1"/>
  <c r="F45"/>
  <c r="N45" s="1"/>
  <c r="F49"/>
  <c r="F54"/>
  <c r="N54" s="1"/>
  <c r="F24"/>
  <c r="N24" s="1"/>
  <c r="F67"/>
  <c r="F66"/>
  <c r="N66" s="1"/>
  <c r="F68"/>
  <c r="N68" s="1"/>
  <c r="F19"/>
  <c r="F86"/>
  <c r="N86" s="1"/>
  <c r="F9"/>
  <c r="N9" s="1"/>
  <c r="F83"/>
  <c r="F39"/>
  <c r="F87"/>
  <c r="N87" s="1"/>
  <c r="K81"/>
  <c r="N81" s="1"/>
  <c r="J39"/>
  <c r="J42"/>
  <c r="J78"/>
  <c r="J43"/>
  <c r="N43" s="1"/>
  <c r="K101" i="4" l="1"/>
  <c r="N82" i="1"/>
  <c r="N88"/>
  <c r="N73"/>
  <c r="N89"/>
  <c r="N83"/>
  <c r="N59"/>
  <c r="N72"/>
  <c r="N28"/>
  <c r="N19"/>
  <c r="N8"/>
  <c r="N40"/>
  <c r="N31"/>
  <c r="N77"/>
  <c r="N39"/>
  <c r="N78"/>
  <c r="N69"/>
  <c r="N15"/>
  <c r="N42"/>
</calcChain>
</file>

<file path=xl/comments1.xml><?xml version="1.0" encoding="utf-8"?>
<comments xmlns="http://schemas.openxmlformats.org/spreadsheetml/2006/main">
  <authors>
    <author>lenovo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12.08.13; отраб.</t>
        </r>
      </text>
    </comment>
    <comment ref="H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06.08.14</t>
        </r>
      </text>
    </comment>
    <comment ref="J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30.06.15</t>
        </r>
      </text>
    </comment>
    <comment ref="L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12.07.16</t>
        </r>
      </text>
    </comment>
    <comment ref="D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27.06.13; отраб.</t>
        </r>
      </text>
    </comment>
    <comment ref="H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15.10.14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27.10.15</t>
        </r>
      </text>
    </comment>
    <comment ref="L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11.10.16</t>
        </r>
      </text>
    </comment>
    <comment ref="D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02.06.14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09.06.15</t>
        </r>
      </text>
    </comment>
    <comment ref="J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29.02.16</t>
        </r>
      </text>
    </comment>
    <comment ref="D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22.08.13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04.08.14</t>
        </r>
      </text>
    </comment>
    <comment ref="L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03.02.17</t>
        </r>
      </text>
    </comment>
    <comment ref="D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15.07.14; 31.07.14</t>
        </r>
      </text>
    </comment>
    <comment ref="J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25.06.15</t>
        </r>
      </text>
    </comment>
    <comment ref="L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20.04.17</t>
        </r>
      </text>
    </commen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27.06.13; отраб.</t>
        </r>
      </text>
    </comment>
    <comment ref="H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08.07.14; 31.07.14</t>
        </r>
      </text>
    </comment>
    <comment ref="J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08.07.15</t>
        </r>
      </text>
    </comment>
    <comment ref="L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F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06.10.14</t>
        </r>
      </text>
    </comment>
    <comment ref="J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29.02.16</t>
        </r>
      </text>
    </comment>
    <comment ref="L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01.11.16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18.02.14</t>
        </r>
      </text>
    </comment>
    <comment ref="H1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07.07.15</t>
        </r>
      </text>
    </comment>
    <comment ref="J1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07.07.15</t>
        </r>
      </text>
    </comment>
    <comment ref="D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19.07.13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17.06.14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30.12.15</t>
        </r>
      </text>
    </comment>
    <comment ref="D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09.09.13; отраб.</t>
        </r>
      </text>
    </comment>
    <comment ref="H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08.09.14</t>
        </r>
      </text>
    </comment>
    <comment ref="J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21.10.15</t>
        </r>
      </text>
    </comment>
    <comment ref="L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15.08.16</t>
        </r>
      </text>
    </comment>
    <comment ref="D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 вед.18</t>
        </r>
      </text>
    </commen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19.06.13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23.06.14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03.07.15</t>
        </r>
      </text>
    </comment>
    <comment ref="L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26.07.16</t>
        </r>
      </text>
    </comment>
    <comment ref="D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11.07.13; отраб.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16.09.14</t>
        </r>
      </text>
    </comment>
    <comment ref="J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26.10.15</t>
        </r>
      </text>
    </comment>
    <comment ref="L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D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F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18.07.13; 06.09.13; отраб.</t>
        </r>
      </text>
    </comment>
    <comment ref="H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11.08.14</t>
        </r>
      </text>
    </comment>
    <comment ref="J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</t>
        </r>
      </text>
    </comment>
    <comment ref="L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20.07.16;12.09.16</t>
        </r>
      </text>
    </comment>
    <comment ref="D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18.06.13; 25.07.14; 01.08.14; решение собрания 01.06.13 г.</t>
        </r>
      </text>
    </comment>
    <comment ref="H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10.07.15</t>
        </r>
      </text>
    </comment>
    <comment ref="L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22.07.16</t>
        </r>
      </text>
    </comment>
    <comment ref="D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решение собрания 01.06.13 г.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10.09.13; 27.05.14</t>
        </r>
      </text>
    </comment>
    <comment ref="H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11.06.15</t>
        </r>
      </text>
    </comment>
    <comment ref="J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22.08.16</t>
        </r>
      </text>
    </comment>
    <comment ref="D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собр. 24.08.13 г.</t>
        </r>
      </text>
    </comment>
    <comment ref="H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собрание 23.08.14 г.</t>
        </r>
      </text>
    </comment>
    <comment ref="D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F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22.07.13; 26.08.13</t>
        </r>
      </text>
    </comment>
    <comment ref="H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19.06.14; 07.08.14; 04.09.14</t>
        </r>
      </text>
    </comment>
    <comment ref="J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18.07.16; 30.06.15</t>
        </r>
      </text>
    </comment>
    <comment ref="D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27.09.13</t>
        </r>
      </text>
    </comment>
    <comment ref="H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24.09.14</t>
        </r>
      </text>
    </comment>
    <comment ref="J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13.10.15</t>
        </r>
      </text>
    </comment>
    <comment ref="L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20.10.16</t>
        </r>
      </text>
    </comment>
    <comment ref="D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17.07.13;отраб.</t>
        </r>
      </text>
    </comment>
    <comment ref="H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08.07.14</t>
        </r>
      </text>
    </comment>
    <comment ref="J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16.07.15</t>
        </r>
      </text>
    </comment>
    <comment ref="L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D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17.10.13; отраб.</t>
        </r>
      </text>
    </comment>
    <comment ref="H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зачет (реш. правл.)</t>
        </r>
      </text>
    </comment>
    <comment ref="J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07.04.16</t>
        </r>
      </text>
    </comment>
    <comment ref="L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10.03.17</t>
        </r>
      </text>
    </comment>
    <comment ref="D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F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02.12.13; 12.09.14</t>
        </r>
      </text>
    </comment>
    <comment ref="H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16.06.15</t>
        </r>
      </text>
    </comment>
    <comment ref="J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24.12.15</t>
        </r>
      </text>
    </comment>
    <comment ref="L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03.01.17</t>
        </r>
      </text>
    </comment>
    <comment ref="D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26.06.13; 27.06.13;18.11.13</t>
        </r>
      </text>
    </comment>
    <comment ref="H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04.07.14</t>
        </r>
      </text>
    </comment>
    <comment ref="J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02.07.15</t>
        </r>
      </text>
    </comment>
    <comment ref="L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27.09.16</t>
        </r>
      </text>
    </comment>
    <comment ref="D2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F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25.10.13</t>
        </r>
      </text>
    </comment>
    <comment ref="H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19.06.14; 24.12.14</t>
        </r>
      </text>
    </comment>
    <comment ref="L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03.10.16</t>
        </r>
      </text>
    </comment>
    <comment ref="D2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вед.5; вед.19</t>
        </r>
      </text>
    </comment>
    <comment ref="F2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25.06.13</t>
        </r>
      </text>
    </comment>
    <comment ref="H2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29.07.14</t>
        </r>
      </text>
    </comment>
    <comment ref="J2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02.02.16</t>
        </r>
      </text>
    </comment>
    <comment ref="D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20.07.12</t>
        </r>
      </text>
    </comment>
    <comment ref="F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09.07.13; отраб.</t>
        </r>
      </text>
    </comment>
    <comment ref="H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07.08.14</t>
        </r>
      </text>
    </comment>
    <comment ref="J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10.09.15</t>
        </r>
      </text>
    </comment>
    <comment ref="L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19.07.16</t>
        </r>
      </text>
    </comment>
    <comment ref="D2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13.09.13; 16.09.15</t>
        </r>
      </text>
    </comment>
    <comment ref="H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08.10.14; 16.09.15</t>
        </r>
      </text>
    </comment>
    <comment ref="J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16.09.15</t>
        </r>
      </text>
    </comment>
    <comment ref="L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28.07.16</t>
        </r>
      </text>
    </comment>
    <comment ref="D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29.07.13; отраб.</t>
        </r>
      </text>
    </comment>
    <comment ref="H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01.10.14</t>
        </r>
      </text>
    </comment>
    <comment ref="J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04.07.16</t>
        </r>
      </text>
    </comment>
    <comment ref="L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D3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F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17.02.13</t>
        </r>
      </text>
    </comment>
    <comment ref="H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17.09.14</t>
        </r>
      </text>
    </comment>
    <comment ref="J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D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26.06.13</t>
        </r>
      </text>
    </comment>
    <comment ref="H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17.06.14</t>
        </r>
      </text>
    </comment>
    <comment ref="J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26.06.15</t>
        </r>
      </text>
    </comment>
    <comment ref="L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29.06.16; 04.08.16</t>
        </r>
      </text>
    </comment>
    <comment ref="D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F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24.06.13; отраб.</t>
        </r>
      </text>
    </comment>
    <comment ref="H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17.06.14</t>
        </r>
      </text>
    </comment>
    <comment ref="J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19.06.15</t>
        </r>
      </text>
    </comment>
    <comment ref="L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D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F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28.08.13</t>
        </r>
      </text>
    </comment>
    <comment ref="H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21.07.15</t>
        </r>
      </text>
    </comment>
    <comment ref="L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D3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F3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15.07.13</t>
        </r>
      </text>
    </comment>
    <comment ref="H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21.07.14</t>
        </r>
      </text>
    </comment>
    <comment ref="J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29.06.15</t>
        </r>
      </text>
    </comment>
    <comment ref="L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D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05.09.13; отраб.</t>
        </r>
      </text>
    </comment>
    <comment ref="H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23.06.14</t>
        </r>
      </text>
    </comment>
    <comment ref="J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24.08.15</t>
        </r>
      </text>
    </comment>
    <comment ref="L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21.09.16</t>
        </r>
      </text>
    </comment>
    <comment ref="D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27.06.13;отраб.</t>
        </r>
      </text>
    </comment>
    <comment ref="H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29.06.15</t>
        </r>
      </text>
    </comment>
    <comment ref="L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D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22.10.13</t>
        </r>
      </text>
    </comment>
    <comment ref="H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05.08.14; 17.09.14</t>
        </r>
      </text>
    </comment>
    <comment ref="J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03.09.15</t>
        </r>
      </text>
    </comment>
    <comment ref="L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19.09.16</t>
        </r>
      </text>
    </comment>
    <comment ref="D3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22.10.13; отраб.</t>
        </r>
      </text>
    </comment>
    <comment ref="H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12.08.14</t>
        </r>
      </text>
    </comment>
    <comment ref="J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14.09.15</t>
        </r>
      </text>
    </comment>
    <comment ref="L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05.08.16</t>
        </r>
      </text>
    </comment>
    <comment ref="D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10.07.13</t>
        </r>
      </text>
    </comment>
    <comment ref="H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30.12.14</t>
        </r>
      </text>
    </comment>
    <comment ref="J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02.02.16; 26.05.16</t>
        </r>
      </text>
    </comment>
    <comment ref="L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03.08.16</t>
        </r>
      </text>
    </comment>
    <comment ref="D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29.04.14</t>
        </r>
      </text>
    </comment>
    <comment ref="H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07.10.14</t>
        </r>
      </text>
    </comment>
    <comment ref="J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24.06.15</t>
        </r>
      </text>
    </comment>
    <comment ref="L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25.07.16</t>
        </r>
      </text>
    </comment>
    <comment ref="D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29.04.14</t>
        </r>
      </text>
    </comment>
    <comment ref="D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30.09.13; отраб.</t>
        </r>
      </text>
    </comment>
    <comment ref="H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17.02.16; 04.07.16</t>
        </r>
      </text>
    </comment>
    <comment ref="L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07.12.16</t>
        </r>
      </text>
    </comment>
    <comment ref="D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23.07.13</t>
        </r>
      </text>
    </comment>
    <comment ref="H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14.10.14</t>
        </r>
      </text>
    </comment>
    <comment ref="J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23.09.15; 29.09.15</t>
        </r>
      </text>
    </comment>
    <comment ref="D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18.06.12</t>
        </r>
      </text>
    </comment>
    <comment ref="F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24.06.13;22.01.14</t>
        </r>
      </text>
    </comment>
    <comment ref="H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25.08.14</t>
        </r>
      </text>
    </comment>
    <comment ref="J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18.05.16</t>
        </r>
      </text>
    </comment>
    <comment ref="L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01.03.17;10.04.17; 26.04.17</t>
        </r>
      </text>
    </comment>
    <comment ref="D4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F4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</t>
        </r>
      </text>
    </comment>
    <comment ref="H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30.09.14</t>
        </r>
      </text>
    </comment>
    <comment ref="J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26.08.15</t>
        </r>
      </text>
    </comment>
    <comment ref="L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10.10.16</t>
        </r>
      </text>
    </comment>
    <comment ref="D4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4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28.06.13</t>
        </r>
      </text>
    </comment>
    <comment ref="H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23.07.14</t>
        </r>
      </text>
    </comment>
    <comment ref="J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18.08.15</t>
        </r>
      </text>
    </comment>
    <comment ref="L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03.08.16</t>
        </r>
      </text>
    </comment>
    <comment ref="D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09.07.13</t>
        </r>
      </text>
    </comment>
    <comment ref="H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21.07.14</t>
        </r>
      </text>
    </comment>
    <comment ref="J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29.06.15</t>
        </r>
      </text>
    </comment>
    <comment ref="L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11.07.16</t>
        </r>
      </text>
    </comment>
    <comment ref="D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08.07.13; 30.12.13</t>
        </r>
      </text>
    </comment>
    <comment ref="H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06.10.14</t>
        </r>
      </text>
    </comment>
    <comment ref="J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17.07.15</t>
        </r>
      </text>
    </comment>
    <comment ref="L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08.08.16</t>
        </r>
      </text>
    </comment>
    <comment ref="D5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5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02.07.13;10.06.14</t>
        </r>
      </text>
    </comment>
    <comment ref="H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10.06.14</t>
        </r>
      </text>
    </comment>
    <comment ref="J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26.06.15</t>
        </r>
      </text>
    </comment>
    <comment ref="L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11.07.16</t>
        </r>
      </text>
    </comment>
    <comment ref="D5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5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</t>
        </r>
      </text>
    </comment>
    <comment ref="H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17.07.14</t>
        </r>
      </text>
    </comment>
    <comment ref="J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10.09.15</t>
        </r>
      </text>
    </comment>
    <comment ref="L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12.08.16</t>
        </r>
      </text>
    </comment>
    <comment ref="D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F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28.06.13; отраб.</t>
        </r>
      </text>
    </comment>
    <comment ref="H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21.07.14</t>
        </r>
      </text>
    </comment>
    <comment ref="J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09.10.15</t>
        </r>
      </text>
    </comment>
    <comment ref="L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07.10.16</t>
        </r>
      </text>
    </comment>
    <comment ref="D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30.07.13; отраб.</t>
        </r>
      </text>
    </comment>
    <comment ref="H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22.09.14</t>
        </r>
      </text>
    </comment>
    <comment ref="J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L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02.09.16</t>
        </r>
      </text>
    </comment>
    <comment ref="D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F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12.12.13</t>
        </r>
      </text>
    </comment>
    <comment ref="H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17.06.15</t>
        </r>
      </text>
    </comment>
    <comment ref="J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30.06.16</t>
        </r>
      </text>
    </comment>
    <comment ref="D5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F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18.11.13; отраб.</t>
        </r>
      </text>
    </comment>
    <comment ref="H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22.8.14</t>
        </r>
      </text>
    </comment>
    <comment ref="J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L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15.09.16</t>
        </r>
      </text>
    </comment>
    <comment ref="D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03.07.13</t>
        </r>
      </text>
    </comment>
    <comment ref="D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вед.1; вед.4</t>
        </r>
      </text>
    </comment>
    <comment ref="F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18.06.13</t>
        </r>
      </text>
    </comment>
    <comment ref="H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07.08.14</t>
        </r>
      </text>
    </comment>
    <comment ref="J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01.10.15</t>
        </r>
      </text>
    </comment>
    <comment ref="L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12.09.16</t>
        </r>
      </text>
    </comment>
    <comment ref="D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25.02.14; 22.08.14</t>
        </r>
      </text>
    </comment>
    <comment ref="H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07.07.15</t>
        </r>
      </text>
    </comment>
    <comment ref="J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10.06.16</t>
        </r>
      </text>
    </comment>
    <comment ref="D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F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06.08.13</t>
        </r>
      </text>
    </comment>
    <comment ref="H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10.09.14</t>
        </r>
      </text>
    </comment>
    <comment ref="J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05.10.15; 07.08.15</t>
        </r>
      </text>
    </comment>
    <comment ref="L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02.09.16</t>
        </r>
      </text>
    </comment>
    <comment ref="D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30.07.12</t>
        </r>
      </text>
    </comment>
    <comment ref="H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16.06.14</t>
        </r>
      </text>
    </comment>
    <comment ref="J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13.05.16</t>
        </r>
      </text>
    </comment>
    <comment ref="L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15.03.17</t>
        </r>
      </text>
    </comment>
    <comment ref="D6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28.06.13</t>
        </r>
      </text>
    </comment>
    <comment ref="F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14.04.14</t>
        </r>
      </text>
    </comment>
    <comment ref="J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27.07.15</t>
        </r>
      </text>
    </comment>
    <comment ref="L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21.09.16; 24.01.17</t>
        </r>
      </text>
    </comment>
    <comment ref="D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D6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 вед.10</t>
        </r>
      </text>
    </comment>
    <comment ref="F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21.10.13</t>
        </r>
      </text>
    </comment>
    <comment ref="H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13.10.14</t>
        </r>
      </text>
    </comment>
    <comment ref="J63" authorId="0">
      <text>
        <r>
          <rPr>
            <sz val="9"/>
            <color indexed="81"/>
            <rFont val="Tahoma"/>
            <charset val="1"/>
          </rPr>
          <t>01.09.15</t>
        </r>
      </text>
    </comment>
    <comment ref="L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21.10.16</t>
        </r>
      </text>
    </comment>
    <comment ref="D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 вед.15</t>
        </r>
      </text>
    </comment>
    <comment ref="F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16.10.13</t>
        </r>
      </text>
    </comment>
    <comment ref="H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15.10.14</t>
        </r>
      </text>
    </comment>
    <comment ref="J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27.10.15</t>
        </r>
      </text>
    </comment>
    <comment ref="L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31.10.16</t>
        </r>
      </text>
    </comment>
    <comment ref="D6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23.11.12</t>
        </r>
      </text>
    </comment>
    <comment ref="F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18.09.13</t>
        </r>
      </text>
    </comment>
    <comment ref="H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24.06.14; 27.08.14</t>
        </r>
      </text>
    </comment>
    <comment ref="J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17.06.16</t>
        </r>
      </text>
    </comment>
    <comment ref="D6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6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20.06.13; 19.09.13</t>
        </r>
      </text>
    </comment>
    <comment ref="H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24.06.15</t>
        </r>
      </text>
    </comment>
    <comment ref="L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10.08.16</t>
        </r>
      </text>
    </comment>
    <comment ref="D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F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24.06.13;11.10.13</t>
        </r>
      </text>
    </comment>
    <comment ref="H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08.05.14; 27.08.14</t>
        </r>
      </text>
    </comment>
    <comment ref="J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08.06.15</t>
        </r>
      </text>
    </comment>
    <comment ref="L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04.07.16</t>
        </r>
      </text>
    </comment>
    <comment ref="D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6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02.07.13;10.09.13</t>
        </r>
      </text>
    </comment>
    <comment ref="H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09.06.14</t>
        </r>
      </text>
    </comment>
    <comment ref="J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08.06.15</t>
        </r>
      </text>
    </comment>
    <comment ref="L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29.06.16</t>
        </r>
      </text>
    </comment>
    <comment ref="D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вед.5; вед.20</t>
        </r>
      </text>
    </comment>
    <comment ref="F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05.07.13; 28.08.13; отраб.</t>
        </r>
      </text>
    </comment>
    <comment ref="H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04.08.14</t>
        </r>
      </text>
    </comment>
    <comment ref="L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09.08.16</t>
        </r>
      </text>
    </comment>
    <comment ref="D7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F7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09.08.13</t>
        </r>
      </text>
    </comment>
    <comment ref="H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26.06.14</t>
        </r>
      </text>
    </comment>
    <comment ref="J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30.06.15</t>
        </r>
      </text>
    </comment>
    <comment ref="L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03.11.16</t>
        </r>
      </text>
    </comment>
    <comment ref="D7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15.10.13</t>
        </r>
      </text>
    </comment>
    <comment ref="H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26.09.14</t>
        </r>
      </text>
    </comment>
    <comment ref="J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03.11.15</t>
        </r>
      </text>
    </comment>
    <comment ref="L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01.11.16</t>
        </r>
      </text>
    </comment>
    <comment ref="D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вед.3; вед.8</t>
        </r>
      </text>
    </comment>
    <comment ref="F7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08.07.13;реш.собр. 24.08.13; отраб.</t>
        </r>
      </text>
    </comment>
    <comment ref="H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11.12.15</t>
        </r>
      </text>
    </comment>
    <comment ref="L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07.02.17</t>
        </r>
      </text>
    </comment>
    <comment ref="D7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вед.4; вед.10; вед.14</t>
        </r>
      </text>
    </comment>
    <comment ref="F7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20.06.13; 16.07.13; 28.03.14</t>
        </r>
      </text>
    </comment>
    <comment ref="H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28.03.14;26.05.14; 21.07.14; 19.09.14</t>
        </r>
      </text>
    </comment>
    <comment ref="J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18.03.15; 18.08.15</t>
        </r>
      </text>
    </comment>
    <comment ref="L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09.02.16; 01.07.16; 21.02.17</t>
        </r>
      </text>
    </comment>
    <comment ref="D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26.09.13</t>
        </r>
      </text>
    </comment>
    <comment ref="H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24.08.15</t>
        </r>
      </text>
    </comment>
    <comment ref="L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12.08.16</t>
        </r>
      </text>
    </comment>
    <comment ref="D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F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18.10.13; отраб.</t>
        </r>
      </text>
    </comment>
    <comment ref="H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15.09.14</t>
        </r>
      </text>
    </comment>
    <comment ref="J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22.07.15</t>
        </r>
      </text>
    </comment>
    <comment ref="L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05.09.16</t>
        </r>
      </text>
    </comment>
    <comment ref="D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F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22.11.13; 29.01.14;</t>
        </r>
      </text>
    </comment>
    <comment ref="H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17.11.14</t>
        </r>
      </text>
    </comment>
    <comment ref="J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</t>
        </r>
      </text>
    </comment>
    <comment ref="L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10.10.16</t>
        </r>
      </text>
    </comment>
    <comment ref="D7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вед.9; вед.15</t>
        </r>
      </text>
    </comment>
    <comment ref="F7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22.07.14; 10.08.15</t>
        </r>
      </text>
    </comment>
    <comment ref="J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12.01.16</t>
        </r>
      </text>
    </comment>
    <comment ref="L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07.03.17</t>
        </r>
      </text>
    </comment>
    <comment ref="D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вед.5; вед.9</t>
        </r>
      </text>
    </comment>
    <comment ref="F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03.09.13; 11.06.14</t>
        </r>
      </text>
    </comment>
    <comment ref="H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15.07.14; 27.11.14</t>
        </r>
      </text>
    </comment>
    <comment ref="J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06.01.16;05.02.16;10.03.16;14.06.16; 14.06.16</t>
        </r>
      </text>
    </comment>
    <comment ref="D7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H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14.08.14</t>
        </r>
      </text>
    </comment>
    <comment ref="J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06.07.16</t>
        </r>
      </text>
    </comment>
    <comment ref="D8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14.04.14</t>
        </r>
      </text>
    </comment>
    <comment ref="J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27.07.15</t>
        </r>
      </text>
    </comment>
    <comment ref="L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21.09.16</t>
        </r>
      </text>
    </comment>
    <comment ref="D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вед.20</t>
        </r>
      </text>
    </comment>
    <comment ref="F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28.05.14</t>
        </r>
      </text>
    </comment>
    <comment ref="J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14.10.15</t>
        </r>
      </text>
    </comment>
    <comment ref="L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11.08.16</t>
        </r>
      </text>
    </comment>
    <comment ref="D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F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07.08.13; отраб.</t>
        </r>
      </text>
    </comment>
    <comment ref="H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19.01.16; 20.04.16; 20.05.15</t>
        </r>
      </text>
    </comment>
    <comment ref="L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29.09.16</t>
        </r>
      </text>
    </comment>
    <comment ref="D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24.07.13; 05.08.13</t>
        </r>
      </text>
    </comment>
    <comment ref="H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19.08.14</t>
        </r>
      </text>
    </comment>
    <comment ref="J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01.06.15</t>
        </r>
      </text>
    </comment>
    <comment ref="L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05.07.16; 03.10.16</t>
        </r>
      </text>
    </comment>
    <comment ref="D8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J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04.09.15</t>
        </r>
      </text>
    </comment>
    <comment ref="D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04.12.13; отраб.</t>
        </r>
      </text>
    </comment>
    <comment ref="H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24.12.14</t>
        </r>
      </text>
    </comment>
    <comment ref="J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06.01.16</t>
        </r>
      </text>
    </comment>
    <comment ref="L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26.04.17</t>
        </r>
      </text>
    </comment>
    <comment ref="F8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13.04.15</t>
        </r>
      </text>
    </comment>
    <comment ref="D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F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18.06.13</t>
        </r>
      </text>
    </comment>
    <comment ref="H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27.05.14; 23.06.15</t>
        </r>
      </text>
    </comment>
    <comment ref="J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04.05.16; 02.06.15</t>
        </r>
      </text>
    </comment>
    <comment ref="D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13.05.13</t>
        </r>
      </text>
    </comment>
    <comment ref="F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08.08.13; отраб.</t>
        </r>
      </text>
    </comment>
    <comment ref="H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08.07.14; 30.10.14</t>
        </r>
      </text>
    </comment>
    <comment ref="J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24.08.15</t>
        </r>
      </text>
    </comment>
    <comment ref="L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30.06.16</t>
        </r>
      </text>
    </comment>
    <comment ref="D8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вед.4; вед.13</t>
        </r>
      </text>
    </comment>
    <comment ref="F8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11.07.13; 18.07.13</t>
        </r>
      </text>
    </comment>
    <comment ref="H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14.07.14</t>
        </r>
      </text>
    </comment>
    <comment ref="J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30.06.15</t>
        </r>
      </text>
    </comment>
    <comment ref="L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12.07.16; 21.07.16; 19.12.16</t>
        </r>
      </text>
    </comment>
  </commentList>
</comments>
</file>

<file path=xl/comments2.xml><?xml version="1.0" encoding="utf-8"?>
<comments xmlns="http://schemas.openxmlformats.org/spreadsheetml/2006/main">
  <authors>
    <author>lenovo</author>
  </authors>
  <commentList>
    <comment ref="K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переплату перенести на уч. 56Б</t>
        </r>
      </text>
    </comment>
    <comment ref="J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перенесена переплата с уч. 54</t>
        </r>
      </text>
    </comment>
  </commentList>
</comments>
</file>

<file path=xl/comments3.xml><?xml version="1.0" encoding="utf-8"?>
<comments xmlns="http://schemas.openxmlformats.org/spreadsheetml/2006/main">
  <authors>
    <author>lenovo</author>
  </authors>
  <commentList>
    <comment ref="D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03.01.17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03.03.17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06.04.17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03.05.17; 07.06.17</t>
        </r>
      </text>
    </comment>
    <comment ref="N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23.06.17</t>
        </r>
      </text>
    </comment>
    <comment ref="R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30.08.17</t>
        </r>
      </text>
    </comment>
    <comment ref="V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13.10.17</t>
        </r>
      </text>
    </comment>
    <comment ref="Z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11.12.17; 30.12.17</t>
        </r>
      </text>
    </comment>
    <comment ref="J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04.04.17</t>
        </r>
      </text>
    </comment>
    <comment ref="R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29.08.17</t>
        </r>
      </text>
    </comment>
    <comment ref="X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03.11.17</t>
        </r>
      </text>
    </comment>
    <comment ref="F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27.02.17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19.04.17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27.02.17</t>
        </r>
      </text>
    </comment>
    <comment ref="J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19.04.17</t>
        </r>
      </text>
    </comment>
    <comment ref="L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18.05.17</t>
        </r>
      </text>
    </comment>
    <comment ref="H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03.03.17</t>
        </r>
      </text>
    </comment>
    <comment ref="P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17.07.17</t>
        </r>
      </text>
    </comment>
    <comment ref="R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31.08.17</t>
        </r>
      </text>
    </comment>
    <comment ref="X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02.11.17</t>
        </r>
      </text>
    </comment>
    <comment ref="N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29.06.17</t>
        </r>
      </text>
    </comment>
    <comment ref="R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24.08.17</t>
        </r>
      </text>
    </comment>
    <comment ref="Z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03.01.18</t>
        </r>
      </text>
    </comment>
    <comment ref="F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27.02.17</t>
        </r>
      </text>
    </comment>
    <comment ref="L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26.05.17</t>
        </r>
      </text>
    </comment>
    <comment ref="N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27.06.17</t>
        </r>
      </text>
    </comment>
    <comment ref="R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17.08.17;31.08.17</t>
        </r>
      </text>
    </comment>
    <comment ref="T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29.09.17</t>
        </r>
      </text>
    </comment>
    <comment ref="X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06.11.17; 27.11.17</t>
        </r>
      </text>
    </comment>
    <comment ref="Z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28.12.17</t>
        </r>
      </text>
    </comment>
    <comment ref="R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24.08.17</t>
        </r>
      </text>
    </comment>
    <comment ref="V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27.10.17</t>
        </r>
      </text>
    </comment>
    <comment ref="V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25.10.17</t>
        </r>
      </text>
    </comment>
    <comment ref="N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23.06.17</t>
        </r>
      </text>
    </comment>
    <comment ref="R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21.08.17;29.08.17</t>
        </r>
      </text>
    </comment>
    <comment ref="T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27.09.17</t>
        </r>
      </text>
    </comment>
    <comment ref="X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06.11.17;23.11.17</t>
        </r>
      </text>
    </comment>
    <comment ref="D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03.01.17</t>
        </r>
      </text>
    </comment>
    <comment ref="L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15.05.17</t>
        </r>
      </text>
    </comment>
    <comment ref="N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16.06.17</t>
        </r>
      </text>
    </comment>
    <comment ref="T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11.09.17; 28.09.17</t>
        </r>
      </text>
    </comment>
    <comment ref="X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27.11.17</t>
        </r>
      </text>
    </comment>
    <comment ref="D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23.01.17</t>
        </r>
      </text>
    </comment>
    <comment ref="H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28.03.17</t>
        </r>
      </text>
    </comment>
    <comment ref="J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21.04.17</t>
        </r>
      </text>
    </comment>
    <comment ref="L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08.06.17</t>
        </r>
      </text>
    </comment>
    <comment ref="P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25.07.17;01.08.17</t>
        </r>
      </text>
    </comment>
    <comment ref="T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07.09.17</t>
        </r>
      </text>
    </comment>
    <comment ref="X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09.11.17</t>
        </r>
      </text>
    </comment>
    <comment ref="X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08.11.17</t>
        </r>
      </text>
    </comment>
    <comment ref="N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15.06.17</t>
        </r>
      </text>
    </comment>
    <comment ref="T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02.10.17</t>
        </r>
      </text>
    </comment>
    <comment ref="X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19.11.17</t>
        </r>
      </text>
    </comment>
    <comment ref="D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11.01.17</t>
        </r>
      </text>
    </comment>
    <comment ref="X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19.11.17</t>
        </r>
      </text>
    </comment>
    <comment ref="X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08.11.17</t>
        </r>
      </text>
    </comment>
    <comment ref="N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03.07.17</t>
        </r>
      </text>
    </comment>
    <comment ref="L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26.05.17</t>
        </r>
      </text>
    </comment>
    <comment ref="X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24.11.17</t>
        </r>
      </text>
    </comment>
    <comment ref="P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18.07.17</t>
        </r>
      </text>
    </comment>
    <comment ref="T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07.09.17</t>
        </r>
      </text>
    </comment>
    <comment ref="V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25.10.17</t>
        </r>
      </text>
    </comment>
    <comment ref="P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26.07.17</t>
        </r>
      </text>
    </comment>
    <comment ref="N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23.06.17; 27.06.17</t>
        </r>
      </text>
    </comment>
    <comment ref="P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04.08.17</t>
        </r>
      </text>
    </comment>
    <comment ref="R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25.08.17</t>
        </r>
      </text>
    </comment>
    <comment ref="Z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24.12.17</t>
        </r>
      </text>
    </comment>
    <comment ref="D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19.01.17</t>
        </r>
      </text>
    </comment>
    <comment ref="H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27.03.17</t>
        </r>
      </text>
    </comment>
    <comment ref="J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05.05.17</t>
        </r>
      </text>
    </comment>
    <comment ref="L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05.06.17</t>
        </r>
      </text>
    </comment>
    <comment ref="N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05.07.17</t>
        </r>
      </text>
    </comment>
    <comment ref="R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23.08.17</t>
        </r>
      </text>
    </comment>
    <comment ref="V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23.10.17</t>
        </r>
      </text>
    </comment>
    <comment ref="Z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01.12.17; 03.01.18</t>
        </r>
      </text>
    </comment>
    <comment ref="D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23.01.17</t>
        </r>
      </text>
    </comment>
    <comment ref="H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20.03.17</t>
        </r>
      </text>
    </comment>
    <comment ref="J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14.04.17; 25.04.17</t>
        </r>
      </text>
    </comment>
    <comment ref="L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29.05.17</t>
        </r>
      </text>
    </comment>
    <comment ref="N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27.06.17</t>
        </r>
      </text>
    </comment>
    <comment ref="P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04.08.17</t>
        </r>
      </text>
    </comment>
    <comment ref="R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29.08.17</t>
        </r>
      </text>
    </comment>
    <comment ref="T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22.09.17</t>
        </r>
      </text>
    </comment>
    <comment ref="V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24.10.17</t>
        </r>
      </text>
    </comment>
    <comment ref="X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27.11.17</t>
        </r>
      </text>
    </comment>
    <comment ref="Z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24.12.17</t>
        </r>
      </text>
    </comment>
    <comment ref="N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12.07.17</t>
        </r>
      </text>
    </comment>
    <comment ref="X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10.11.17</t>
        </r>
      </text>
    </comment>
    <comment ref="R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22.08.17</t>
        </r>
      </text>
    </comment>
    <comment ref="T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02.10.17</t>
        </r>
      </text>
    </comment>
    <comment ref="D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23.01.17</t>
        </r>
      </text>
    </comment>
    <comment ref="F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13.02.17</t>
        </r>
      </text>
    </comment>
    <comment ref="J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24.04.17</t>
        </r>
      </text>
    </comment>
    <comment ref="N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27.06.17</t>
        </r>
      </text>
    </comment>
    <comment ref="X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13.11.17</t>
        </r>
      </text>
    </comment>
    <comment ref="Z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24.12.17</t>
        </r>
      </text>
    </comment>
    <comment ref="V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13.10.17</t>
        </r>
      </text>
    </comment>
    <comment ref="T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26.09.17</t>
        </r>
      </text>
    </comment>
    <comment ref="R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08.08.17</t>
        </r>
      </text>
    </comment>
    <comment ref="T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11.09.17</t>
        </r>
      </text>
    </comment>
    <comment ref="T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11.09.17</t>
        </r>
      </text>
    </comment>
    <comment ref="D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12.01.17</t>
        </r>
      </text>
    </comment>
    <comment ref="H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10.04.17</t>
        </r>
      </text>
    </comment>
    <comment ref="N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20.06.17;06.07.17</t>
        </r>
      </text>
    </comment>
    <comment ref="R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14.08.17</t>
        </r>
      </text>
    </comment>
    <comment ref="T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11.09.17</t>
        </r>
      </text>
    </comment>
    <comment ref="X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10.11.17</t>
        </r>
      </text>
    </comment>
    <comment ref="Z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24.12.17</t>
        </r>
      </text>
    </comment>
    <comment ref="L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19.05.17</t>
        </r>
      </text>
    </comment>
    <comment ref="R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14.08.17</t>
        </r>
      </text>
    </comment>
    <comment ref="T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20.09.17</t>
        </r>
      </text>
    </comment>
    <comment ref="T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04.09.17</t>
        </r>
      </text>
    </comment>
    <comment ref="L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22.05.17</t>
        </r>
      </text>
    </comment>
    <comment ref="T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20.09.17</t>
        </r>
      </text>
    </comment>
    <comment ref="R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01.09.17</t>
        </r>
      </text>
    </comment>
    <comment ref="N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13.06.17</t>
        </r>
      </text>
    </comment>
    <comment ref="T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02.10.17</t>
        </r>
      </text>
    </comment>
    <comment ref="L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18.05.17</t>
        </r>
      </text>
    </comment>
    <comment ref="N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16.06.17</t>
        </r>
      </text>
    </comment>
    <comment ref="R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17.08.17</t>
        </r>
      </text>
    </comment>
    <comment ref="T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19.09.17</t>
        </r>
      </text>
    </comment>
    <comment ref="D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03.01.17</t>
        </r>
      </text>
    </comment>
    <comment ref="H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27.03.17</t>
        </r>
      </text>
    </comment>
    <comment ref="N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30.06.17</t>
        </r>
      </text>
    </comment>
    <comment ref="R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28.08.17</t>
        </r>
      </text>
    </comment>
    <comment ref="V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27.10.17</t>
        </r>
      </text>
    </comment>
    <comment ref="Z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26.12.17</t>
        </r>
      </text>
    </comment>
    <comment ref="N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27.06.17</t>
        </r>
      </text>
    </comment>
    <comment ref="R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16.08.17;28.08.17</t>
        </r>
      </text>
    </comment>
    <comment ref="V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10.10.17</t>
        </r>
      </text>
    </comment>
    <comment ref="L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06.06.17</t>
        </r>
      </text>
    </comment>
    <comment ref="N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07.07.17</t>
        </r>
      </text>
    </comment>
    <comment ref="P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04.08.17</t>
        </r>
      </text>
    </comment>
    <comment ref="T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07.09.17</t>
        </r>
      </text>
    </comment>
    <comment ref="V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05.10.17</t>
        </r>
      </text>
    </comment>
    <comment ref="X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14.11.17</t>
        </r>
      </text>
    </comment>
    <comment ref="R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23.08.17</t>
        </r>
      </text>
    </comment>
    <comment ref="T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13.09.17</t>
        </r>
      </text>
    </comment>
    <comment ref="D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24.01.17</t>
        </r>
      </text>
    </comment>
    <comment ref="H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02.03.17</t>
        </r>
      </text>
    </comment>
    <comment ref="J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03.04.17</t>
        </r>
      </text>
    </comment>
    <comment ref="L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02.05.17; 02.06.17</t>
        </r>
      </text>
    </comment>
    <comment ref="N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03.07.17</t>
        </r>
      </text>
    </comment>
    <comment ref="P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03.08.17</t>
        </r>
      </text>
    </comment>
    <comment ref="T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12.09.17; 02.10.17</t>
        </r>
      </text>
    </comment>
    <comment ref="V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16.10.17; 23.10.17</t>
        </r>
      </text>
    </comment>
    <comment ref="X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27.11.17</t>
        </r>
      </text>
    </comment>
    <comment ref="Z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28.12.17</t>
        </r>
      </text>
    </comment>
    <comment ref="N9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10.07.17</t>
        </r>
      </text>
    </comment>
    <comment ref="J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26.04.17</t>
        </r>
      </text>
    </comment>
    <comment ref="F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27.02.17</t>
        </r>
      </text>
    </comment>
    <comment ref="J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19.04.17</t>
        </r>
      </text>
    </comment>
    <comment ref="L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01.06.17</t>
        </r>
      </text>
    </comment>
    <comment ref="N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28.06.17</t>
        </r>
      </text>
    </comment>
    <comment ref="T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03.10.17</t>
        </r>
      </text>
    </comment>
    <comment ref="V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24.10.17</t>
        </r>
      </text>
    </comment>
    <comment ref="Z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22.12.17</t>
        </r>
      </text>
    </comment>
    <comment ref="N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14.04.17; 26.06.17</t>
        </r>
      </text>
    </comment>
    <comment ref="R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18.08.17</t>
        </r>
      </text>
    </comment>
    <comment ref="T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15.09.17</t>
        </r>
      </text>
    </comment>
    <comment ref="X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06.11.17</t>
        </r>
      </text>
    </comment>
  </commentList>
</comments>
</file>

<file path=xl/comments4.xml><?xml version="1.0" encoding="utf-8"?>
<comments xmlns="http://schemas.openxmlformats.org/spreadsheetml/2006/main">
  <authors>
    <author>lenovo</author>
    <author>пк</author>
  </authors>
  <commentList>
    <comment ref="F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05.02.16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21.03.16; 31.03.16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12.05.16</t>
        </r>
      </text>
    </comment>
    <comment ref="N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10.06.16; 12.07.16</t>
        </r>
      </text>
    </comment>
    <comment ref="P1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R1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T1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05.10.16</t>
        </r>
      </text>
    </comment>
    <comment ref="X1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05.02.16</t>
        </r>
      </text>
    </comment>
    <comment ref="H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02.03.16</t>
        </r>
      </text>
    </comment>
    <comment ref="N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T1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11.10.16</t>
        </r>
      </text>
    </comment>
    <comment ref="Z1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27.12.16</t>
        </r>
      </text>
    </comment>
    <comment ref="N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22.06.16</t>
        </r>
      </text>
    </comment>
    <comment ref="P16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N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22.06.16</t>
        </r>
      </text>
    </comment>
    <comment ref="R1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29.08.16</t>
        </r>
      </text>
    </comment>
    <comment ref="F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25.02.16</t>
        </r>
      </text>
    </comment>
    <comment ref="L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25.05.16</t>
        </r>
      </text>
    </comment>
    <comment ref="N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R2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V2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08.11.16</t>
        </r>
      </text>
    </comment>
    <comment ref="Z2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30.12.16</t>
        </r>
      </text>
    </comment>
    <comment ref="P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20.07.16</t>
        </r>
      </text>
    </comment>
    <comment ref="R2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09.09.16</t>
        </r>
      </text>
    </comment>
    <comment ref="N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02.06.16; 06.07.16</t>
        </r>
      </text>
    </comment>
    <comment ref="P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09.08.16</t>
        </r>
      </text>
    </comment>
    <comment ref="R24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14.09.16</t>
        </r>
      </text>
    </comment>
    <comment ref="T24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28.09.16</t>
        </r>
      </text>
    </comment>
    <comment ref="V24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28.10.16</t>
        </r>
      </text>
    </comment>
    <comment ref="Z24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28.12.16</t>
        </r>
      </text>
    </comment>
    <comment ref="P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25.07.16,15.08.16</t>
        </r>
      </text>
    </comment>
    <comment ref="R27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02.09.16</t>
        </r>
      </text>
    </comment>
    <comment ref="T2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18.10.16</t>
        </r>
      </text>
    </comment>
    <comment ref="L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31.05.16</t>
        </r>
      </text>
    </comment>
    <comment ref="N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P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26.07.16</t>
        </r>
      </text>
    </comment>
    <comment ref="R2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23.09.16</t>
        </r>
      </text>
    </comment>
    <comment ref="V2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17.11.16</t>
        </r>
      </text>
    </comment>
    <comment ref="N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09.06.16; 29.06.16</t>
        </r>
      </text>
    </comment>
    <comment ref="R3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20.09.16</t>
        </r>
      </text>
    </comment>
    <comment ref="V3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16.11.16</t>
        </r>
      </text>
    </comment>
    <comment ref="F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03.02.16; 20.02.16</t>
        </r>
      </text>
    </comment>
    <comment ref="H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01.04.16</t>
        </r>
      </text>
    </comment>
    <comment ref="L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04.05.16; 24.05.16</t>
        </r>
      </text>
    </comment>
    <comment ref="N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23.06.16</t>
        </r>
      </text>
    </comment>
    <comment ref="P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21.07.16</t>
        </r>
      </text>
    </comment>
    <comment ref="R3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12.09.16</t>
        </r>
      </text>
    </comment>
    <comment ref="T3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27.09.16</t>
        </r>
      </text>
    </comment>
    <comment ref="V3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08.11.16</t>
        </r>
      </text>
    </comment>
    <comment ref="X3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19.12.16</t>
        </r>
      </text>
    </comment>
    <comment ref="N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15.06.16</t>
        </r>
      </text>
    </comment>
    <comment ref="T3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03.10.16</t>
        </r>
      </text>
    </comment>
    <comment ref="F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02.02.16</t>
        </r>
      </text>
    </comment>
    <comment ref="F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17.02.16</t>
        </r>
      </text>
    </comment>
    <comment ref="N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19.07.16</t>
        </r>
      </text>
    </comment>
    <comment ref="P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08.08.16</t>
        </r>
      </text>
    </comment>
    <comment ref="V3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05.11.16</t>
        </r>
      </text>
    </comment>
    <comment ref="F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17.02.16</t>
        </r>
      </text>
    </comment>
    <comment ref="P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28.07.16</t>
        </r>
      </text>
    </comment>
    <comment ref="N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N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08.06.16; 29.06.16</t>
        </r>
      </text>
    </comment>
    <comment ref="P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04.08.16</t>
        </r>
      </text>
    </comment>
    <comment ref="T40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04.10.16</t>
        </r>
      </text>
    </comment>
    <comment ref="N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L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24.05.16</t>
        </r>
      </text>
    </comment>
    <comment ref="N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23.06.16</t>
        </r>
      </text>
    </comment>
    <comment ref="P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26.07.16</t>
        </r>
      </text>
    </comment>
    <comment ref="R4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29.08.16</t>
        </r>
      </text>
    </comment>
    <comment ref="T4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03.10.16</t>
        </r>
      </text>
    </comment>
    <comment ref="V4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26.10.16</t>
        </r>
      </text>
    </comment>
    <comment ref="Z4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26.12.16</t>
        </r>
      </text>
    </comment>
    <comment ref="F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03.02.16</t>
        </r>
      </text>
    </comment>
    <comment ref="H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02.03.16; 22.03.16</t>
        </r>
      </text>
    </comment>
    <comment ref="J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22.04.16</t>
        </r>
      </text>
    </comment>
    <comment ref="L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23.05.16</t>
        </r>
      </text>
    </comment>
    <comment ref="N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23.06.16</t>
        </r>
      </text>
    </comment>
    <comment ref="P4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T4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03.10.16</t>
        </r>
      </text>
    </comment>
    <comment ref="V4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23.11.16</t>
        </r>
      </text>
    </comment>
    <comment ref="X4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23.11.16</t>
        </r>
      </text>
    </comment>
    <comment ref="P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05.08.16</t>
        </r>
      </text>
    </comment>
    <comment ref="P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05.08.16</t>
        </r>
      </text>
    </comment>
    <comment ref="D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25.01.16</t>
        </r>
      </text>
    </comment>
    <comment ref="F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24.02.16</t>
        </r>
      </text>
    </comment>
    <comment ref="H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23.03.16</t>
        </r>
      </text>
    </comment>
    <comment ref="J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28.04.16</t>
        </r>
      </text>
    </comment>
    <comment ref="L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23.05.16</t>
        </r>
      </text>
    </comment>
    <comment ref="N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23.06.16</t>
        </r>
      </text>
    </comment>
    <comment ref="P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25.07.16</t>
        </r>
      </text>
    </comment>
    <comment ref="R4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25.08.16</t>
        </r>
      </text>
    </comment>
    <comment ref="T4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26.09.16</t>
        </r>
      </text>
    </comment>
    <comment ref="V4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23.10.16</t>
        </r>
      </text>
    </comment>
    <comment ref="X4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25.11.16</t>
        </r>
      </text>
    </comment>
    <comment ref="Z4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26.12.16</t>
        </r>
      </text>
    </comment>
    <comment ref="L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13,05.16</t>
        </r>
      </text>
    </comment>
    <comment ref="N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14.06.16</t>
        </r>
      </text>
    </comment>
    <comment ref="T4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14.10.16</t>
        </r>
      </text>
    </comment>
    <comment ref="V4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18.10.16, 10.11.16</t>
        </r>
      </text>
    </comment>
    <comment ref="P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29.07.16</t>
        </r>
      </text>
    </comment>
    <comment ref="R5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08.09.16</t>
        </r>
      </text>
    </comment>
    <comment ref="D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11.01.16</t>
        </r>
      </text>
    </comment>
    <comment ref="H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28.03.16</t>
        </r>
      </text>
    </comment>
    <comment ref="L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23.05.16</t>
        </r>
      </text>
    </comment>
    <comment ref="P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01.08.16</t>
        </r>
      </text>
    </comment>
    <comment ref="T5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10.10.16</t>
        </r>
      </text>
    </comment>
    <comment ref="X5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19.12.16</t>
        </r>
      </text>
    </comment>
    <comment ref="P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05.08.16</t>
        </r>
      </text>
    </comment>
    <comment ref="P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26.07.16</t>
        </r>
      </text>
    </comment>
    <comment ref="T5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06.10.16</t>
        </r>
      </text>
    </comment>
    <comment ref="P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L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25.05.16</t>
        </r>
      </text>
    </comment>
    <comment ref="N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11.07.16</t>
        </r>
      </text>
    </comment>
    <comment ref="P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26.07.16</t>
        </r>
      </text>
    </comment>
    <comment ref="P5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12.08.16</t>
        </r>
      </text>
    </comment>
    <comment ref="R5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15.09.16</t>
        </r>
      </text>
    </comment>
    <comment ref="T5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20.10.16</t>
        </r>
      </text>
    </comment>
    <comment ref="T5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07.10.16</t>
        </r>
      </text>
    </comment>
    <comment ref="R60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02.09.2016</t>
        </r>
      </text>
    </comment>
    <comment ref="Z60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27.12.16</t>
        </r>
      </text>
    </comment>
    <comment ref="N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30.06.16</t>
        </r>
      </text>
    </comment>
    <comment ref="X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07.12.16</t>
        </r>
      </text>
    </comment>
    <comment ref="F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10.02.16</t>
        </r>
      </text>
    </comment>
    <comment ref="J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04.04.16; 25.04.16</t>
        </r>
      </text>
    </comment>
    <comment ref="L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25.05.16</t>
        </r>
      </text>
    </comment>
    <comment ref="P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20.07.16</t>
        </r>
      </text>
    </comment>
    <comment ref="R6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15.09.16</t>
        </r>
      </text>
    </comment>
    <comment ref="T6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12.10.16</t>
        </r>
      </text>
    </comment>
    <comment ref="N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10.06.16</t>
        </r>
      </text>
    </comment>
    <comment ref="T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12.10.16</t>
        </r>
      </text>
    </comment>
    <comment ref="R6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21.09.16</t>
        </r>
      </text>
    </comment>
    <comment ref="N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10.06.16</t>
        </r>
      </text>
    </comment>
    <comment ref="V70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29.10.16</t>
        </r>
      </text>
    </comment>
    <comment ref="T7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20.10.16</t>
        </r>
      </text>
    </comment>
    <comment ref="N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03.06.16</t>
        </r>
      </text>
    </comment>
    <comment ref="P7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19.08.16</t>
        </r>
      </text>
    </comment>
    <comment ref="V7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01.11.16</t>
        </r>
      </text>
    </comment>
    <comment ref="L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24.05.16</t>
        </r>
      </text>
    </comment>
    <comment ref="N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29.06.16</t>
        </r>
      </text>
    </comment>
    <comment ref="P7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R75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19.09.16</t>
        </r>
      </text>
    </comment>
    <comment ref="D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14.01.16</t>
        </r>
      </text>
    </comment>
    <comment ref="F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29.02.16</t>
        </r>
      </text>
    </comment>
    <comment ref="L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25.05.16</t>
        </r>
      </text>
    </comment>
    <comment ref="R7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30.08.16</t>
        </r>
      </text>
    </comment>
    <comment ref="V80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31.10.16</t>
        </r>
      </text>
    </comment>
    <comment ref="N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01.07.16</t>
        </r>
      </text>
    </comment>
    <comment ref="P8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8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22.08.16</t>
        </r>
      </text>
    </comment>
    <comment ref="T82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30.09.16</t>
        </r>
      </text>
    </comment>
    <comment ref="P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20.07.16</t>
        </r>
      </text>
    </comment>
    <comment ref="R8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12.08.16</t>
        </r>
      </text>
    </comment>
    <comment ref="T8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16.09.16</t>
        </r>
      </text>
    </comment>
    <comment ref="N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09.06.16; 04.07.16</t>
        </r>
      </text>
    </comment>
    <comment ref="R87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25.08.16</t>
        </r>
      </text>
    </comment>
    <comment ref="T87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14.10.16</t>
        </r>
      </text>
    </comment>
    <comment ref="N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14.06.16</t>
        </r>
      </text>
    </comment>
    <comment ref="V88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17.11.16</t>
        </r>
      </text>
    </comment>
    <comment ref="N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06.07.16</t>
        </r>
      </text>
    </comment>
    <comment ref="P91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11.08.16</t>
        </r>
      </text>
    </comment>
    <comment ref="D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25.01.16; 25.01.16</t>
        </r>
      </text>
    </comment>
    <comment ref="F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29.02.16</t>
        </r>
      </text>
    </comment>
    <comment ref="J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01.04.16</t>
        </r>
      </text>
    </comment>
    <comment ref="L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04.05.16</t>
        </r>
      </text>
    </comment>
    <comment ref="N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09.06.16; 05.07.16</t>
        </r>
      </text>
    </comment>
    <comment ref="P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05.07.16</t>
        </r>
      </text>
    </comment>
    <comment ref="R9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07.09.16</t>
        </r>
      </text>
    </comment>
    <comment ref="T9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03.10.16,03.10.16</t>
        </r>
      </text>
    </comment>
    <comment ref="X9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06.12.16</t>
        </r>
      </text>
    </comment>
    <comment ref="Z93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30.12.16</t>
        </r>
      </text>
    </comment>
    <comment ref="D9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06.01.16</t>
        </r>
      </text>
    </comment>
    <comment ref="N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22.06.16</t>
        </r>
      </text>
    </comment>
    <comment ref="N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01.06.16;29.06.16</t>
        </r>
      </text>
    </comment>
    <comment ref="P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29.07.16</t>
        </r>
      </text>
    </comment>
    <comment ref="R97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30.08.16</t>
        </r>
      </text>
    </comment>
    <comment ref="V97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22.11.16</t>
        </r>
      </text>
    </comment>
    <comment ref="Z97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29.12.16</t>
        </r>
      </text>
    </comment>
    <comment ref="D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18.01.16</t>
        </r>
      </text>
    </comment>
    <comment ref="N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14.06.16; 12.07.16</t>
        </r>
      </text>
    </comment>
    <comment ref="P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29.07.16</t>
        </r>
      </text>
    </comment>
    <comment ref="R9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13.09.16</t>
        </r>
      </text>
    </comment>
    <comment ref="T9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15.10.16</t>
        </r>
      </text>
    </comment>
    <comment ref="X99" authorId="1">
      <text>
        <r>
          <rPr>
            <b/>
            <sz val="9"/>
            <color indexed="81"/>
            <rFont val="Tahoma"/>
            <charset val="1"/>
          </rPr>
          <t>пк:</t>
        </r>
        <r>
          <rPr>
            <sz val="9"/>
            <color indexed="81"/>
            <rFont val="Tahoma"/>
            <charset val="1"/>
          </rPr>
          <t xml:space="preserve">
19.12.16</t>
        </r>
      </text>
    </comment>
  </commentList>
</comments>
</file>

<file path=xl/comments5.xml><?xml version="1.0" encoding="utf-8"?>
<comments xmlns="http://schemas.openxmlformats.org/spreadsheetml/2006/main">
  <authors>
    <author>lenovo</author>
  </authors>
  <commentList>
    <comment ref="C1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не работал счетчик в июне 2014, начислено по июню 2013</t>
        </r>
      </text>
    </comment>
    <comment ref="G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11.02.15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20.03.15</t>
        </r>
      </text>
    </comment>
    <comment ref="K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22.04.15</t>
        </r>
      </text>
    </comment>
    <comment ref="M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25.05.15</t>
        </r>
      </text>
    </comment>
    <comment ref="O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09.06.15; 30.06.15</t>
        </r>
      </text>
    </comment>
    <comment ref="S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04.08.15; 15.09.15</t>
        </r>
      </text>
    </comment>
    <comment ref="U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29.09.15</t>
        </r>
      </text>
    </comment>
    <comment ref="W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26.11.15</t>
        </r>
      </text>
    </comment>
    <comment ref="Y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26.11.15</t>
        </r>
      </text>
    </comment>
    <comment ref="AA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14.01.16</t>
        </r>
      </text>
    </comment>
    <comment ref="G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26.02.15</t>
        </r>
      </text>
    </comment>
    <comment ref="K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30.04.15</t>
        </r>
      </text>
    </comment>
    <comment ref="S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08.09.15</t>
        </r>
      </text>
    </comment>
    <comment ref="W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27.10.15</t>
        </r>
      </text>
    </comment>
    <comment ref="O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09.06.15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09.06.15</t>
        </r>
      </text>
    </comment>
    <comment ref="S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07.09.15</t>
        </r>
      </text>
    </comment>
    <comment ref="E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30.01.15</t>
        </r>
      </text>
    </comment>
    <comment ref="G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24.02.15</t>
        </r>
      </text>
    </comment>
    <comment ref="I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23.03.15</t>
        </r>
      </text>
    </comment>
    <comment ref="K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22.04.15</t>
        </r>
      </text>
    </comment>
    <comment ref="M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29.05.15</t>
        </r>
      </text>
    </comment>
    <comment ref="O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25.06.15</t>
        </r>
      </text>
    </comment>
    <comment ref="Q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31.07.15</t>
        </r>
      </text>
    </comment>
    <comment ref="S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26.08.15</t>
        </r>
      </text>
    </comment>
    <comment ref="U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02.10.15</t>
        </r>
      </text>
    </comment>
    <comment ref="W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23.10.15</t>
        </r>
      </text>
    </comment>
    <comment ref="Q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08.07.15</t>
        </r>
      </text>
    </comment>
    <comment ref="Y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20.11.15</t>
        </r>
      </text>
    </comment>
    <comment ref="S1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07.09.15</t>
        </r>
      </text>
    </comment>
    <comment ref="Q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07.07.15</t>
        </r>
      </text>
    </comment>
    <comment ref="AA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30.12.15</t>
        </r>
      </text>
    </comment>
    <comment ref="E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12.01.15</t>
        </r>
      </text>
    </comment>
    <comment ref="I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03.03.15</t>
        </r>
      </text>
    </comment>
    <comment ref="K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28.04.15</t>
        </r>
      </text>
    </comment>
    <comment ref="Q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02.07.15</t>
        </r>
      </text>
    </comment>
    <comment ref="S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26.08.15</t>
        </r>
      </text>
    </comment>
    <comment ref="W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26.10.15</t>
        </r>
      </text>
    </comment>
    <comment ref="AA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28.12.15</t>
        </r>
      </text>
    </comment>
    <comment ref="O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09.06.15</t>
        </r>
      </text>
    </comment>
    <comment ref="Q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10.07.15</t>
        </r>
      </text>
    </comment>
    <comment ref="S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10.09.15</t>
        </r>
      </text>
    </comment>
    <comment ref="Y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06.11.15</t>
        </r>
      </text>
    </comment>
    <comment ref="G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10.02.15</t>
        </r>
      </text>
    </comment>
    <comment ref="O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04.06.15</t>
        </r>
      </text>
    </comment>
    <comment ref="Q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10.07.15</t>
        </r>
      </text>
    </comment>
    <comment ref="S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04.08.15; 04.09.15</t>
        </r>
      </text>
    </comment>
    <comment ref="W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07.10.15</t>
        </r>
      </text>
    </comment>
    <comment ref="Y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09.11.15</t>
        </r>
      </text>
    </comment>
    <comment ref="O2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11.06.15</t>
        </r>
      </text>
    </comment>
    <comment ref="M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26.05.15</t>
        </r>
      </text>
    </comment>
    <comment ref="O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09.06.15; 30.06.15</t>
        </r>
      </text>
    </comment>
    <comment ref="Q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16.07.15</t>
        </r>
      </text>
    </comment>
    <comment ref="S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10.08.15; 27.08.15</t>
        </r>
      </text>
    </comment>
    <comment ref="W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01.10.15</t>
        </r>
      </text>
    </comment>
    <comment ref="Y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02.11.15</t>
        </r>
      </text>
    </comment>
    <comment ref="W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13.10.15</t>
        </r>
      </text>
    </comment>
    <comment ref="Q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16.07.15</t>
        </r>
      </text>
    </comment>
    <comment ref="S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28.08.15</t>
        </r>
      </text>
    </comment>
    <comment ref="Y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30.11.15</t>
        </r>
      </text>
    </comment>
    <comment ref="O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16.06.15</t>
        </r>
      </text>
    </comment>
    <comment ref="W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28.10.15</t>
        </r>
      </text>
    </comment>
    <comment ref="I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13.03.15</t>
        </r>
      </text>
    </comment>
    <comment ref="K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22.04.15</t>
        </r>
      </text>
    </comment>
    <comment ref="M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22.05.15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02.07.15; 23.07.15</t>
        </r>
      </text>
    </comment>
    <comment ref="S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25.08.15</t>
        </r>
      </text>
    </comment>
    <comment ref="U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30.09.15</t>
        </r>
      </text>
    </comment>
    <comment ref="W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03.11.15</t>
        </r>
      </text>
    </comment>
    <comment ref="Y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26.11.15</t>
        </r>
      </text>
    </comment>
    <comment ref="AA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30.12.15</t>
        </r>
      </text>
    </comment>
    <comment ref="O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01.06.15</t>
        </r>
      </text>
    </comment>
    <comment ref="S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10.09.15</t>
        </r>
      </text>
    </comment>
    <comment ref="S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16.09.15</t>
        </r>
      </text>
    </comment>
    <comment ref="U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O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11.06.15;26.06.15</t>
        </r>
      </text>
    </comment>
    <comment ref="S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26.08.15</t>
        </r>
      </text>
    </comment>
    <comment ref="W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07.10.15</t>
        </r>
      </text>
    </comment>
    <comment ref="O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19.06.15</t>
        </r>
      </text>
    </comment>
    <comment ref="Q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30.07.15</t>
        </r>
      </text>
    </comment>
    <comment ref="S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25.08.15</t>
        </r>
      </text>
    </comment>
    <comment ref="W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06.10.15</t>
        </r>
      </text>
    </comment>
    <comment ref="Q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21.07.15</t>
        </r>
      </text>
    </comment>
    <comment ref="K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30.04.15</t>
        </r>
      </text>
    </comment>
    <comment ref="O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02.06.15; 29.06.15</t>
        </r>
      </text>
    </comment>
    <comment ref="Q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27.07.15</t>
        </r>
      </text>
    </comment>
    <comment ref="S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01.09.15</t>
        </r>
      </text>
    </comment>
    <comment ref="U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03.11.15</t>
        </r>
      </text>
    </comment>
    <comment ref="W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03.11.15</t>
        </r>
      </text>
    </comment>
    <comment ref="G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26.02.15</t>
        </r>
      </text>
    </comment>
    <comment ref="K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03.04.15</t>
        </r>
      </text>
    </comment>
    <comment ref="M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25.05.15</t>
        </r>
      </text>
    </comment>
    <comment ref="O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29.06.15</t>
        </r>
      </text>
    </comment>
    <comment ref="S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04.08.15; 31.08.15</t>
        </r>
      </text>
    </comment>
    <comment ref="U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W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22.10.15</t>
        </r>
      </text>
    </comment>
    <comment ref="Y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09.12.15</t>
        </r>
      </text>
    </comment>
    <comment ref="AA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24.12.15</t>
        </r>
      </text>
    </comment>
    <comment ref="U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14.09.15</t>
        </r>
      </text>
    </comment>
    <comment ref="E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22.01.15</t>
        </r>
      </text>
    </comment>
    <comment ref="I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17.03.15</t>
        </r>
      </text>
    </comment>
    <comment ref="K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09.04.15; 27.04.15</t>
        </r>
      </text>
    </comment>
    <comment ref="M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28.05.15</t>
        </r>
      </text>
    </comment>
    <comment ref="O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24.06.15</t>
        </r>
      </text>
    </comment>
    <comment ref="Q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28.07.15</t>
        </r>
      </text>
    </comment>
    <comment ref="S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25.08.15</t>
        </r>
      </text>
    </comment>
    <comment ref="U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W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26.10.15</t>
        </r>
      </text>
    </comment>
    <comment ref="Y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25.11.15</t>
        </r>
      </text>
    </comment>
    <comment ref="AA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23.12.15</t>
        </r>
      </text>
    </comment>
    <comment ref="O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08.06.15</t>
        </r>
      </text>
    </comment>
    <comment ref="Q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28.07.15</t>
        </r>
      </text>
    </comment>
    <comment ref="U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22.09.15</t>
        </r>
      </text>
    </comment>
    <comment ref="Y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05.11.15; 10.11.15</t>
        </r>
      </text>
    </comment>
    <comment ref="W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12.10.15</t>
        </r>
      </text>
    </comment>
    <comment ref="S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04.09.15</t>
        </r>
      </text>
    </comment>
    <comment ref="Y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18.11.15</t>
        </r>
      </text>
    </comment>
    <comment ref="E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22.01.15</t>
        </r>
      </text>
    </comment>
    <comment ref="O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26.06.15</t>
        </r>
      </text>
    </comment>
    <comment ref="S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26.08.15</t>
        </r>
      </text>
    </comment>
    <comment ref="Y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02.11.15</t>
        </r>
      </text>
    </comment>
    <comment ref="AA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21.12.15</t>
        </r>
      </text>
    </comment>
    <comment ref="S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18.08.15</t>
        </r>
      </text>
    </comment>
    <comment ref="U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15.09.15</t>
        </r>
      </text>
    </comment>
    <comment ref="W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29.09.15</t>
        </r>
      </text>
    </comment>
    <comment ref="O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17.06.15</t>
        </r>
      </text>
    </comment>
    <comment ref="O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16.06.15; 26.06.15</t>
        </r>
      </text>
    </comment>
    <comment ref="S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10.08.15; 28.08.15</t>
        </r>
      </text>
    </comment>
    <comment ref="W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S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07.09.15</t>
        </r>
      </text>
    </comment>
    <comment ref="W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29.09.15</t>
        </r>
      </text>
    </comment>
    <comment ref="M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18.05.15</t>
        </r>
      </text>
    </comment>
    <comment ref="S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24.08.15</t>
        </r>
      </text>
    </comment>
    <comment ref="W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09.10.15</t>
        </r>
      </text>
    </comment>
    <comment ref="AA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17.12.15; 17.12.15; 17.12.15</t>
        </r>
      </text>
    </comment>
    <comment ref="Q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27.07.15</t>
        </r>
      </text>
    </comment>
    <comment ref="S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25.08.15</t>
        </r>
      </text>
    </comment>
    <comment ref="U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W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O6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17.06.15</t>
        </r>
      </text>
    </comment>
    <comment ref="I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30.03.15</t>
        </r>
      </text>
    </comment>
    <comment ref="M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26.05.15</t>
        </r>
      </text>
    </comment>
    <comment ref="O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22.06.15</t>
        </r>
      </text>
    </comment>
    <comment ref="Q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08.07.15</t>
        </r>
      </text>
    </comment>
    <comment ref="S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21.08.15</t>
        </r>
      </text>
    </comment>
    <comment ref="U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18.09.15</t>
        </r>
      </text>
    </comment>
    <comment ref="W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Y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18.11.15</t>
        </r>
      </text>
    </comment>
    <comment ref="K6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20.04.15</t>
        </r>
      </text>
    </comment>
    <comment ref="I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19.03.15</t>
        </r>
      </text>
    </comment>
    <comment ref="K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20.04.15</t>
        </r>
      </text>
    </comment>
    <comment ref="Q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07.07.15</t>
        </r>
      </text>
    </comment>
    <comment ref="W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27.10.15</t>
        </r>
      </text>
    </comment>
    <comment ref="Y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18.11.15</t>
        </r>
      </text>
    </comment>
    <comment ref="S7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13.08.15</t>
        </r>
      </text>
    </comment>
    <comment ref="W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12.10.15</t>
        </r>
      </text>
    </comment>
    <comment ref="O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08.06.15</t>
        </r>
      </text>
    </comment>
    <comment ref="S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03.08.15</t>
        </r>
      </text>
    </comment>
    <comment ref="U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23.09.15</t>
        </r>
      </text>
    </comment>
    <comment ref="O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08.06.15</t>
        </r>
      </text>
    </comment>
    <comment ref="Q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16.07.15</t>
        </r>
      </text>
    </comment>
    <comment ref="S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05.08.15; 08.09.15</t>
        </r>
      </text>
    </comment>
    <comment ref="W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06.10.15</t>
        </r>
      </text>
    </comment>
    <comment ref="S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25.08.15</t>
        </r>
      </text>
    </comment>
    <comment ref="I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03.03.15</t>
        </r>
      </text>
    </comment>
    <comment ref="K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29.04.15</t>
        </r>
      </text>
    </comment>
    <comment ref="M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26.05.15</t>
        </r>
      </text>
    </comment>
    <comment ref="O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30.06.15</t>
        </r>
      </text>
    </comment>
    <comment ref="S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26.08.15</t>
        </r>
      </text>
    </comment>
    <comment ref="Y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02.11.15</t>
        </r>
      </text>
    </comment>
    <comment ref="O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08.06.15</t>
        </r>
      </text>
    </comment>
    <comment ref="S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18.08.15</t>
        </r>
      </text>
    </comment>
    <comment ref="W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01.10.15</t>
        </r>
      </text>
    </comment>
    <comment ref="S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24.08.15</t>
        </r>
      </text>
    </comment>
    <comment ref="W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W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</t>
        </r>
      </text>
    </comment>
    <comment ref="Q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15.07.15</t>
        </r>
      </text>
    </comment>
    <comment ref="S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10.08.15; 09.09.15</t>
        </r>
      </text>
    </comment>
    <comment ref="W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13.10.15</t>
        </r>
      </text>
    </comment>
    <comment ref="O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15.06.15</t>
        </r>
      </text>
    </comment>
    <comment ref="S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28.08.15</t>
        </r>
      </text>
    </comment>
    <comment ref="W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W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14.10.15</t>
        </r>
      </text>
    </comment>
    <comment ref="AA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16.12.15</t>
        </r>
      </text>
    </comment>
    <comment ref="S9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17.09.15</t>
        </r>
      </text>
    </comment>
    <comment ref="W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</t>
        </r>
      </text>
    </comment>
    <comment ref="G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10.02.15</t>
        </r>
      </text>
    </comment>
    <comment ref="I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02.03.15</t>
        </r>
      </text>
    </comment>
    <comment ref="K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06.04.15; 27.04.15</t>
        </r>
      </text>
    </comment>
    <comment ref="O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01.06.15</t>
        </r>
      </text>
    </comment>
    <comment ref="Q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01.07.15; 29.07.15</t>
        </r>
      </text>
    </comment>
    <comment ref="S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02.09.15</t>
        </r>
      </text>
    </comment>
    <comment ref="W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30.10.15</t>
        </r>
      </text>
    </comment>
    <comment ref="Y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05.11.15</t>
        </r>
      </text>
    </comment>
    <comment ref="AA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01.12.15</t>
        </r>
      </text>
    </comment>
    <comment ref="O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09.06.15</t>
        </r>
      </text>
    </comment>
    <comment ref="S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07.09.15</t>
        </r>
      </text>
    </comment>
    <comment ref="E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20.01.15</t>
        </r>
      </text>
    </comment>
    <comment ref="O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02.06.15</t>
        </r>
      </text>
    </comment>
    <comment ref="Q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06.07.15</t>
        </r>
      </text>
    </comment>
    <comment ref="S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03.08.15; 15.09.15</t>
        </r>
      </text>
    </comment>
    <comment ref="U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30.09.15</t>
        </r>
      </text>
    </comment>
    <comment ref="W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28.10.15</t>
        </r>
      </text>
    </comment>
    <comment ref="AA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22.12.15</t>
        </r>
      </text>
    </comment>
    <comment ref="O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30.06.15</t>
        </r>
      </text>
    </comment>
    <comment ref="U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W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20.10.15</t>
        </r>
      </text>
    </comment>
    <comment ref="Y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08.11.15</t>
        </r>
      </text>
    </comment>
  </commentList>
</comments>
</file>

<file path=xl/comments6.xml><?xml version="1.0" encoding="utf-8"?>
<comments xmlns="http://schemas.openxmlformats.org/spreadsheetml/2006/main">
  <authors>
    <author>lenovo</author>
  </authors>
  <commentLis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13.02.14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14.03.14</t>
        </r>
      </text>
    </comment>
    <comment ref="J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08.04.14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26.05.14</t>
        </r>
      </text>
    </comment>
    <comment ref="P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28.07.14</t>
        </r>
      </text>
    </comment>
    <comment ref="T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04.09.14</t>
        </r>
      </text>
    </comment>
    <comment ref="V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06.10.14</t>
        </r>
      </text>
    </comment>
    <comment ref="X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17.11.14</t>
        </r>
      </text>
    </comment>
    <comment ref="Z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03.12.14; 30.12.14</t>
        </r>
      </text>
    </comment>
    <comment ref="P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29.07.14</t>
        </r>
      </text>
    </comment>
    <comment ref="V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15.10.14</t>
        </r>
      </text>
    </comment>
    <comment ref="Z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01.12.14</t>
        </r>
      </text>
    </comment>
    <comment ref="V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06.10.14</t>
        </r>
      </text>
    </comment>
    <comment ref="D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24.01.14</t>
        </r>
      </text>
    </comment>
    <comment ref="P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15.07.14; 16.07.14; 31.07.14</t>
        </r>
      </text>
    </comment>
    <comment ref="T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02.09.14</t>
        </r>
      </text>
    </comment>
    <comment ref="V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03.10.14; 31.10.14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28.11.14</t>
        </r>
      </text>
    </comment>
    <comment ref="Z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26.12.14</t>
        </r>
      </text>
    </comment>
    <comment ref="J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28.04.14</t>
        </r>
      </text>
    </comment>
    <comment ref="P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08.07.14</t>
        </r>
      </text>
    </comment>
    <comment ref="X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17.11.14</t>
        </r>
      </text>
    </comment>
    <comment ref="P1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01.07.14</t>
        </r>
      </text>
    </comment>
    <comment ref="N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17.06.14</t>
        </r>
      </text>
    </comment>
    <comment ref="Z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08.12.14</t>
        </r>
      </text>
    </comment>
    <comment ref="P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08.07.14</t>
        </r>
      </text>
    </comment>
    <comment ref="T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19.09.14</t>
        </r>
      </text>
    </comment>
    <comment ref="N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03.06.14</t>
        </r>
      </text>
    </comment>
    <comment ref="P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25.07.14</t>
        </r>
      </text>
    </comment>
    <comment ref="H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03.03.14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05.05.14</t>
        </r>
      </text>
    </comment>
    <comment ref="N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30.06.14</t>
        </r>
      </text>
    </comment>
    <comment ref="T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16.09.14</t>
        </r>
      </text>
    </comment>
    <comment ref="X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05.11.14</t>
        </r>
      </text>
    </comment>
    <comment ref="R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11.08.14; 27.08.14</t>
        </r>
      </text>
    </comment>
    <comment ref="V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03.10.14</t>
        </r>
      </text>
    </comment>
    <comment ref="F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03.02.14;28.02.14</t>
        </r>
      </text>
    </comment>
    <comment ref="H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27.03.14</t>
        </r>
      </text>
    </comment>
    <comment ref="L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06.05.14</t>
        </r>
      </text>
    </comment>
    <comment ref="N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04.06.14</t>
        </r>
      </text>
    </comment>
    <comment ref="R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01.08.14; 26.08.14</t>
        </r>
      </text>
    </comment>
    <comment ref="V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07.10.14</t>
        </r>
      </text>
    </comment>
    <comment ref="X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07.11.14</t>
        </r>
      </text>
    </comment>
    <comment ref="Z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08.12.14; 25.12.14</t>
        </r>
      </text>
    </comment>
    <comment ref="L2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27.05.14</t>
        </r>
      </text>
    </comment>
    <comment ref="L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26.05.14</t>
        </r>
      </text>
    </comment>
    <comment ref="R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07.08.14</t>
        </r>
      </text>
    </comment>
    <comment ref="T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04.09.14</t>
        </r>
      </text>
    </comment>
    <comment ref="T2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24.09.14</t>
        </r>
      </text>
    </comment>
    <comment ref="N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05.06.14</t>
        </r>
      </text>
    </comment>
    <comment ref="P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08.07.14</t>
        </r>
      </text>
    </comment>
    <comment ref="R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19.08.14</t>
        </r>
      </text>
    </comment>
    <comment ref="X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27.11.14</t>
        </r>
      </text>
    </comment>
    <comment ref="D3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23.01.14</t>
        </r>
      </text>
    </comment>
    <comment ref="P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23.07.14</t>
        </r>
      </text>
    </comment>
    <comment ref="T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12.09.14</t>
        </r>
      </text>
    </comment>
    <comment ref="H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26.03.14</t>
        </r>
      </text>
    </comment>
    <comment ref="P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04.07.14</t>
        </r>
      </text>
    </comment>
    <comment ref="R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19.08.14</t>
        </r>
      </text>
    </comment>
    <comment ref="T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30.09.14</t>
        </r>
      </text>
    </comment>
    <comment ref="X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06.11.14</t>
        </r>
      </text>
    </comment>
    <comment ref="Z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15.12.14; 26.12.14</t>
        </r>
      </text>
    </comment>
    <comment ref="H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18.03.14</t>
        </r>
      </text>
    </comment>
    <comment ref="N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19.06.14</t>
        </r>
      </text>
    </comment>
    <comment ref="R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01.08.14</t>
        </r>
      </text>
    </comment>
    <comment ref="Z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24.12.14</t>
        </r>
      </text>
    </comment>
    <comment ref="N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10.06.14</t>
        </r>
      </text>
    </comment>
    <comment ref="R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07.08.14</t>
        </r>
      </text>
    </comment>
    <comment ref="T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09.09.14</t>
        </r>
      </text>
    </comment>
    <comment ref="V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14.10.14</t>
        </r>
      </text>
    </comment>
    <comment ref="V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08.10.14</t>
        </r>
      </text>
    </comment>
    <comment ref="V3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01.10.14</t>
        </r>
      </text>
    </comment>
    <comment ref="F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17.02.14</t>
        </r>
      </text>
    </comment>
    <comment ref="T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17.09.14</t>
        </r>
      </text>
    </comment>
    <comment ref="L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30.05.14</t>
        </r>
      </text>
    </comment>
    <comment ref="N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24.06.14</t>
        </r>
      </text>
    </comment>
    <comment ref="P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23.07.14</t>
        </r>
      </text>
    </comment>
    <comment ref="R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28.08.14</t>
        </r>
      </text>
    </comment>
    <comment ref="T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26.09.14</t>
        </r>
      </text>
    </comment>
    <comment ref="X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06.11.14</t>
        </r>
      </text>
    </comment>
    <comment ref="R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05.08.14</t>
        </r>
      </text>
    </comment>
    <comment ref="T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01.09.14</t>
        </r>
      </text>
    </comment>
    <comment ref="V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27.10.14</t>
        </r>
      </text>
    </comment>
    <comment ref="R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22.08.14</t>
        </r>
      </text>
    </comment>
    <comment ref="D43" authorId="0">
      <text>
        <r>
          <rPr>
            <b/>
            <sz val="11"/>
            <color indexed="81"/>
            <rFont val="Calibri"/>
            <family val="2"/>
            <charset val="204"/>
            <scheme val="minor"/>
          </rPr>
          <t>lenovo:</t>
        </r>
        <r>
          <rPr>
            <sz val="11"/>
            <color indexed="81"/>
            <rFont val="Calibri"/>
            <family val="2"/>
            <charset val="204"/>
            <scheme val="minor"/>
          </rPr>
          <t xml:space="preserve">
09.01.14</t>
        </r>
      </text>
    </comment>
    <comment ref="J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30.04.14</t>
        </r>
      </text>
    </comment>
    <comment ref="L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23.05.14</t>
        </r>
      </text>
    </comment>
    <comment ref="P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21.07.14; 24.07.14</t>
        </r>
      </text>
    </comment>
    <comment ref="R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29.08.14</t>
        </r>
      </text>
    </comment>
    <comment ref="T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25.09.14</t>
        </r>
      </text>
    </comment>
    <comment ref="V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27.10.14</t>
        </r>
      </text>
    </comment>
    <comment ref="X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26.11.14</t>
        </r>
      </text>
    </comment>
    <comment ref="N4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23.06.14</t>
        </r>
      </text>
    </comment>
    <comment ref="V4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21.10.14</t>
        </r>
      </text>
    </comment>
    <comment ref="L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15.05.14</t>
        </r>
      </text>
    </comment>
    <comment ref="V4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28.10.14</t>
        </r>
      </text>
    </comment>
    <comment ref="Z4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30.12.14</t>
        </r>
      </text>
    </comment>
    <comment ref="J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29.04.14</t>
        </r>
      </text>
    </comment>
    <comment ref="R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27.08.14</t>
        </r>
      </text>
    </comment>
    <comment ref="N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27.06.14</t>
        </r>
      </text>
    </comment>
    <comment ref="R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22.08.14</t>
        </r>
      </text>
    </comment>
    <comment ref="V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09.10.14</t>
        </r>
      </text>
    </comment>
    <comment ref="Z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09.12.14</t>
        </r>
      </text>
    </comment>
    <comment ref="V5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14.10.14</t>
        </r>
      </text>
    </comment>
    <comment ref="R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28.08.14</t>
        </r>
      </text>
    </comment>
    <comment ref="D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21.01.14</t>
        </r>
      </text>
    </comment>
    <comment ref="F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05.02.14</t>
        </r>
      </text>
    </comment>
    <comment ref="J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24.04.14</t>
        </r>
      </text>
    </comment>
    <comment ref="N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18.06.14; 26.06.14</t>
        </r>
      </text>
    </comment>
    <comment ref="R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28.08.14</t>
        </r>
      </text>
    </comment>
    <comment ref="T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30.09.14</t>
        </r>
      </text>
    </comment>
    <comment ref="V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30.10.14</t>
        </r>
      </text>
    </comment>
    <comment ref="X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27.11.14</t>
        </r>
      </text>
    </comment>
    <comment ref="Z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25.12.12</t>
        </r>
      </text>
    </comment>
    <comment ref="P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23.07.14</t>
        </r>
      </text>
    </comment>
    <comment ref="P5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24.07.14</t>
        </r>
      </text>
    </comment>
    <comment ref="V5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02.10.14</t>
        </r>
      </text>
    </comment>
    <comment ref="F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10.02.14</t>
        </r>
      </text>
    </comment>
    <comment ref="J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07.04.14</t>
        </r>
      </text>
    </comment>
    <comment ref="N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05.06.14</t>
        </r>
      </text>
    </comment>
    <comment ref="P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07.07.14</t>
        </r>
      </text>
    </comment>
    <comment ref="R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29.07.14</t>
        </r>
      </text>
    </comment>
    <comment ref="L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29.05.14</t>
        </r>
      </text>
    </comment>
    <comment ref="R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05.08.14; 15.08.14</t>
        </r>
      </text>
    </comment>
    <comment ref="T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01.09.14</t>
        </r>
      </text>
    </comment>
    <comment ref="V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01.10.14</t>
        </r>
      </text>
    </comment>
    <comment ref="P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17.07.14</t>
        </r>
      </text>
    </comment>
    <comment ref="T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17.09.14</t>
        </r>
      </text>
    </comment>
    <comment ref="V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27.10.14</t>
        </r>
      </text>
    </comment>
    <comment ref="H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20.03.14</t>
        </r>
      </text>
    </comment>
    <comment ref="L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28.05.14</t>
        </r>
      </text>
    </comment>
    <comment ref="P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21.07.14</t>
        </r>
      </text>
    </comment>
    <comment ref="R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04.08.14</t>
        </r>
      </text>
    </comment>
    <comment ref="P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29.07.14</t>
        </r>
      </text>
    </comment>
    <comment ref="T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22.09.14</t>
        </r>
      </text>
    </comment>
    <comment ref="D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20.01.14</t>
        </r>
      </text>
    </comment>
    <comment ref="L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20.05.14</t>
        </r>
      </text>
    </comment>
    <comment ref="N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11.06.14</t>
        </r>
      </text>
    </comment>
    <comment ref="T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05.09.14</t>
        </r>
      </text>
    </comment>
    <comment ref="V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10.10.14; 29.10.14</t>
        </r>
      </text>
    </comment>
    <comment ref="Z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24.12.14</t>
        </r>
      </text>
    </comment>
    <comment ref="N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10.06.14</t>
        </r>
      </text>
    </comment>
    <comment ref="R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07.08.14</t>
        </r>
      </text>
    </comment>
    <comment ref="F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25.02.14</t>
        </r>
      </text>
    </comment>
    <comment ref="R6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22.08.14</t>
        </r>
      </text>
    </comment>
    <comment ref="P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30.07.14</t>
        </r>
      </text>
    </comment>
    <comment ref="J6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14.04.14</t>
        </r>
      </text>
    </comment>
    <comment ref="T6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01.09.14</t>
        </r>
      </text>
    </comment>
    <comment ref="R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22.08.14</t>
        </r>
      </text>
    </comment>
    <comment ref="V7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13.10.14</t>
        </r>
      </text>
    </comment>
    <comment ref="V7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15.10.14</t>
        </r>
      </text>
    </comment>
    <comment ref="R7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15.08.14</t>
        </r>
      </text>
    </comment>
    <comment ref="L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23.05.14</t>
        </r>
      </text>
    </comment>
    <comment ref="P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09.07.14; 28.07.14</t>
        </r>
      </text>
    </comment>
    <comment ref="R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27.08.14</t>
        </r>
      </text>
    </comment>
    <comment ref="N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09.06.14</t>
        </r>
      </text>
    </comment>
    <comment ref="P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08.07.14; 28.07.14</t>
        </r>
      </text>
    </comment>
    <comment ref="T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01.09.14</t>
        </r>
      </text>
    </comment>
    <comment ref="V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24.10.14</t>
        </r>
      </text>
    </comment>
    <comment ref="P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18.07.14</t>
        </r>
      </text>
    </comment>
    <comment ref="R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04.08.14</t>
        </r>
      </text>
    </comment>
    <comment ref="P7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18.07.14</t>
        </r>
      </text>
    </comment>
    <comment ref="L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14.05.14</t>
        </r>
      </text>
    </comment>
    <comment ref="N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26.06.14</t>
        </r>
      </text>
    </comment>
    <comment ref="Z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23.12.14</t>
        </r>
      </text>
    </comment>
    <comment ref="T8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26.09.14</t>
        </r>
      </text>
    </comment>
    <comment ref="D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13.01.14</t>
        </r>
      </text>
    </comment>
    <comment ref="P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14.07.14</t>
        </r>
      </text>
    </comment>
    <comment ref="L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26.05.14</t>
        </r>
      </text>
    </comment>
    <comment ref="P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21.07.14</t>
        </r>
      </text>
    </comment>
    <comment ref="T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19.09.14</t>
        </r>
      </text>
    </comment>
    <comment ref="N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11.06.14</t>
        </r>
      </text>
    </comment>
    <comment ref="P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22.07.14; 28.07.14</t>
        </r>
      </text>
    </comment>
    <comment ref="R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27.08.14</t>
        </r>
      </text>
    </comment>
    <comment ref="Z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17.12.14</t>
        </r>
      </text>
    </comment>
    <comment ref="T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15.09.14</t>
        </r>
      </text>
    </comment>
    <comment ref="V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20.10.14</t>
        </r>
      </text>
    </comment>
    <comment ref="X8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17.11.14</t>
        </r>
      </text>
    </comment>
    <comment ref="N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26.06.14</t>
        </r>
      </text>
    </comment>
    <comment ref="T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12.09.14</t>
        </r>
      </text>
    </comment>
    <comment ref="V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08.10.14</t>
        </r>
      </text>
    </comment>
    <comment ref="X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10.11.14</t>
        </r>
      </text>
    </comment>
    <comment ref="F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27.02.14</t>
        </r>
      </text>
    </comment>
    <comment ref="N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11.06.14</t>
        </r>
      </text>
    </comment>
    <comment ref="P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15.07.14</t>
        </r>
      </text>
    </comment>
    <comment ref="R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19.08.14; 29.08.14</t>
        </r>
      </text>
    </comment>
    <comment ref="X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11.11.14</t>
        </r>
      </text>
    </comment>
    <comment ref="R8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14.08.14</t>
        </r>
      </text>
    </comment>
    <comment ref="L9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28.05.14</t>
        </r>
      </text>
    </comment>
    <comment ref="V9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02.10.14</t>
        </r>
      </text>
    </comment>
    <comment ref="R9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22.08.14</t>
        </r>
      </text>
    </comment>
    <comment ref="X9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19.11.14</t>
        </r>
      </text>
    </comment>
    <comment ref="D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16.01.14</t>
        </r>
      </text>
    </comment>
    <comment ref="F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13.02.14</t>
        </r>
      </text>
    </comment>
    <comment ref="H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20.03.14</t>
        </r>
      </text>
    </comment>
    <comment ref="N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02.06.14</t>
        </r>
      </text>
    </comment>
    <comment ref="P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07.07.14</t>
        </r>
      </text>
    </comment>
    <comment ref="R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11.08.14</t>
        </r>
      </text>
    </comment>
    <comment ref="T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09.09.14</t>
        </r>
      </text>
    </comment>
    <comment ref="V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02.10.14</t>
        </r>
      </text>
    </comment>
    <comment ref="X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05.11.14</t>
        </r>
      </text>
    </comment>
    <comment ref="Z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09.12.14; 29.12.14</t>
        </r>
      </text>
    </comment>
    <comment ref="T9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22.09.14</t>
        </r>
      </text>
    </comment>
    <comment ref="P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01.07.14</t>
        </r>
      </text>
    </comment>
    <comment ref="V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06.10.14</t>
        </r>
      </text>
    </comment>
    <comment ref="H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27.03.14</t>
        </r>
      </text>
    </comment>
    <comment ref="P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09.07.14; 24.07.14</t>
        </r>
      </text>
    </comment>
    <comment ref="R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27.08.14</t>
        </r>
      </text>
    </comment>
    <comment ref="T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29.09.14</t>
        </r>
      </text>
    </comment>
    <comment ref="X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26.11.14</t>
        </r>
      </text>
    </comment>
    <comment ref="F9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28.02.14</t>
        </r>
      </text>
    </comment>
    <comment ref="P9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08.07.14</t>
        </r>
      </text>
    </comment>
    <comment ref="N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10.06.14</t>
        </r>
      </text>
    </comment>
    <comment ref="R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12.08.14</t>
        </r>
      </text>
    </comment>
    <comment ref="Z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22.12.14</t>
        </r>
      </text>
    </comment>
  </commentList>
</comments>
</file>

<file path=xl/comments7.xml><?xml version="1.0" encoding="utf-8"?>
<comments xmlns="http://schemas.openxmlformats.org/spreadsheetml/2006/main">
  <authors>
    <author>lenovo</author>
  </authors>
  <commentList>
    <comment ref="F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07.02.13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25.03.13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12.04.13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14.05.13; 30.05.13</t>
        </r>
      </text>
    </comment>
    <comment ref="P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15.07.13</t>
        </r>
      </text>
    </comment>
    <comment ref="R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12.08.13</t>
        </r>
      </text>
    </comment>
    <comment ref="V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01.10.13;14.10.13</t>
        </r>
      </text>
    </comment>
    <comment ref="X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01.11.13</t>
        </r>
      </text>
    </comment>
    <comment ref="Z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31.12.13</t>
        </r>
      </text>
    </comment>
    <comment ref="N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03.06.13</t>
        </r>
      </text>
    </comment>
    <comment ref="X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06.11.13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21.03.13</t>
        </r>
      </text>
    </comment>
    <comment ref="R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07.08.13</t>
        </r>
      </text>
    </comment>
    <comment ref="N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03.06.13</t>
        </r>
      </text>
    </comment>
    <comment ref="N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27.06.13</t>
        </r>
      </text>
    </comment>
    <comment ref="P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19.07.13</t>
        </r>
      </text>
    </comment>
    <comment ref="R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14.08.13</t>
        </r>
      </text>
    </comment>
    <comment ref="V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11.10.13</t>
        </r>
      </text>
    </comment>
    <comment ref="N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26.06.13</t>
        </r>
      </text>
    </comment>
    <comment ref="P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22.07.13</t>
        </r>
      </text>
    </comment>
    <comment ref="T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09.09.13</t>
        </r>
      </text>
    </comment>
    <comment ref="V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15.10.13</t>
        </r>
      </text>
    </comment>
    <comment ref="X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07.11.13</t>
        </r>
      </text>
    </comment>
    <comment ref="N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20.06.13</t>
        </r>
      </text>
    </comment>
    <comment ref="P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08.07.13</t>
        </r>
      </text>
    </comment>
    <comment ref="R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27.08.13</t>
        </r>
      </text>
    </comment>
    <comment ref="T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05.09.13</t>
        </r>
      </text>
    </comment>
    <comment ref="V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29.10.13</t>
        </r>
      </text>
    </comment>
    <comment ref="H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21.03.13</t>
        </r>
      </text>
    </comment>
    <comment ref="L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07.05.13</t>
        </r>
      </text>
    </comment>
    <comment ref="P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11.07.13</t>
        </r>
      </text>
    </comment>
    <comment ref="T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23.09.13</t>
        </r>
      </text>
    </comment>
    <comment ref="V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30.10.13</t>
        </r>
      </text>
    </comment>
    <comment ref="P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12.07.13</t>
        </r>
      </text>
    </comment>
    <comment ref="R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20.08.13</t>
        </r>
      </text>
    </comment>
    <comment ref="T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06.09.13</t>
        </r>
      </text>
    </comment>
    <comment ref="X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05.11.13</t>
        </r>
      </text>
    </comment>
    <comment ref="N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11.06.13;18.06.13</t>
        </r>
      </text>
    </comment>
    <comment ref="P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09.07.13; 31.07.13</t>
        </r>
      </text>
    </comment>
    <comment ref="T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02.09.13</t>
        </r>
      </text>
    </comment>
    <comment ref="X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06.11.13</t>
        </r>
      </text>
    </comment>
    <comment ref="Z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05.12.13; 31.12.13</t>
        </r>
      </text>
    </comment>
    <comment ref="N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18.06.13</t>
        </r>
      </text>
    </comment>
    <comment ref="L2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07.05.13</t>
        </r>
      </text>
    </comment>
    <comment ref="P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22.07.13</t>
        </r>
      </text>
    </comment>
    <comment ref="P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22.07.13</t>
        </r>
      </text>
    </comment>
    <comment ref="R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27.08.13</t>
        </r>
      </text>
    </comment>
    <comment ref="T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17.09.13</t>
        </r>
      </text>
    </comment>
    <comment ref="X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21.11.13</t>
        </r>
      </text>
    </comment>
    <comment ref="N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04.06.13</t>
        </r>
      </text>
    </comment>
    <comment ref="P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17.07.13</t>
        </r>
      </text>
    </comment>
    <comment ref="R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20.08.13</t>
        </r>
      </text>
    </comment>
    <comment ref="X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07.11.13</t>
        </r>
      </text>
    </comment>
    <comment ref="Z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31.12.13</t>
        </r>
      </text>
    </comment>
    <comment ref="L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30.05.13</t>
        </r>
      </text>
    </comment>
    <comment ref="P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31.07.13</t>
        </r>
      </text>
    </comment>
    <comment ref="T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06.09.13</t>
        </r>
      </text>
    </comment>
    <comment ref="V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04.10.13</t>
        </r>
      </text>
    </comment>
    <comment ref="X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06.11.13</t>
        </r>
      </text>
    </comment>
    <comment ref="Z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09.12.13</t>
        </r>
      </text>
    </comment>
    <comment ref="N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19.06.13</t>
        </r>
      </text>
    </comment>
    <comment ref="P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19.07.13</t>
        </r>
      </text>
    </comment>
    <comment ref="R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08.08.13</t>
        </r>
      </text>
    </comment>
    <comment ref="T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19.09.13</t>
        </r>
      </text>
    </comment>
    <comment ref="Z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02.12.13</t>
        </r>
      </text>
    </comment>
    <comment ref="J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29.04.13</t>
        </r>
      </text>
    </comment>
    <comment ref="N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03.06.13</t>
        </r>
      </text>
    </comment>
    <comment ref="P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09.07.13</t>
        </r>
      </text>
    </comment>
    <comment ref="R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16.08.13</t>
        </r>
      </text>
    </comment>
    <comment ref="X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11.11.13</t>
        </r>
      </text>
    </comment>
    <comment ref="Z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12.12.13</t>
        </r>
      </text>
    </comment>
    <comment ref="V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25.10.13</t>
        </r>
      </text>
    </comment>
    <comment ref="N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25.06.13</t>
        </r>
      </text>
    </comment>
    <comment ref="R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12.08.13</t>
        </r>
      </text>
    </comment>
    <comment ref="R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01.08.12</t>
        </r>
      </text>
    </comment>
    <comment ref="V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23.10.13</t>
        </r>
      </text>
    </comment>
    <comment ref="R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06.08.13</t>
        </r>
      </text>
    </comment>
    <comment ref="V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21.10.13</t>
        </r>
      </text>
    </comment>
    <comment ref="T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13.09.13</t>
        </r>
      </text>
    </comment>
    <comment ref="P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29.07.13</t>
        </r>
      </text>
    </comment>
    <comment ref="L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29.05.13; 30.05.13</t>
        </r>
      </text>
    </comment>
    <comment ref="P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24.07.13; 30.07.13</t>
        </r>
      </text>
    </comment>
    <comment ref="T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06.09.13; 30.09.13</t>
        </r>
      </text>
    </comment>
    <comment ref="P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05.07.13</t>
        </r>
      </text>
    </comment>
    <comment ref="T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06.09.13</t>
        </r>
      </text>
    </comment>
    <comment ref="V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24.10.13</t>
        </r>
      </text>
    </comment>
    <comment ref="Z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03.12.13</t>
        </r>
      </text>
    </comment>
    <comment ref="L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30.05.13</t>
        </r>
      </text>
    </comment>
    <comment ref="R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28.08.13</t>
        </r>
      </text>
    </comment>
    <comment ref="L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24.05.13</t>
        </r>
      </text>
    </comment>
    <comment ref="N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07.06.13</t>
        </r>
      </text>
    </comment>
    <comment ref="P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03.07.13</t>
        </r>
      </text>
    </comment>
    <comment ref="R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29.08.13</t>
        </r>
      </text>
    </comment>
    <comment ref="V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08.10.13; 28.10.13</t>
        </r>
      </text>
    </comment>
    <comment ref="Z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23.12.13</t>
        </r>
      </text>
    </comment>
    <comment ref="T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05.09.13</t>
        </r>
      </text>
    </comment>
    <comment ref="Z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23.12.13</t>
        </r>
      </text>
    </comment>
    <comment ref="D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17.01.13 в Мосэнергосбыт</t>
        </r>
      </text>
    </comment>
    <comment ref="P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решение собрания 01.06.13 г.</t>
        </r>
      </text>
    </comment>
    <comment ref="X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07.11.13</t>
        </r>
      </text>
    </comment>
    <comment ref="P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02.07.13; 10.07.13</t>
        </r>
      </text>
    </comment>
    <comment ref="R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16.08.13</t>
        </r>
      </text>
    </comment>
    <comment ref="X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11.11.12</t>
        </r>
      </text>
    </comment>
    <comment ref="P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10.07.13</t>
        </r>
      </text>
    </comment>
    <comment ref="R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08.08.13</t>
        </r>
      </text>
    </comment>
    <comment ref="T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</t>
        </r>
      </text>
    </comment>
    <comment ref="Z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23.12.13</t>
        </r>
      </text>
    </comment>
    <comment ref="P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08.07.13; 15.07.13</t>
        </r>
      </text>
    </comment>
    <comment ref="V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14.10.13</t>
        </r>
      </text>
    </comment>
    <comment ref="R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16.08.13</t>
        </r>
      </text>
    </comment>
    <comment ref="V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01.10.13</t>
        </r>
      </text>
    </comment>
    <comment ref="N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10.06.13; 24.06.13</t>
        </r>
      </text>
    </comment>
    <comment ref="V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07.10.13</t>
        </r>
      </text>
    </comment>
    <comment ref="Z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04.12.13</t>
        </r>
      </text>
    </comment>
    <comment ref="L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27.05.13</t>
        </r>
      </text>
    </comment>
    <comment ref="V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02.10.13</t>
        </r>
      </text>
    </comment>
    <comment ref="T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24.09.13</t>
        </r>
      </text>
    </comment>
    <comment ref="L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13.05.13</t>
        </r>
      </text>
    </comment>
    <comment ref="P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15.07.13</t>
        </r>
      </text>
    </comment>
    <comment ref="R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26.08.13</t>
        </r>
      </text>
    </comment>
    <comment ref="T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17.09.13</t>
        </r>
      </text>
    </comment>
    <comment ref="X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01.11.13</t>
        </r>
      </text>
    </comment>
    <comment ref="Z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30.12.13</t>
        </r>
      </text>
    </comment>
    <comment ref="P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02.07.13</t>
        </r>
      </text>
    </comment>
    <comment ref="T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02.09.13</t>
        </r>
      </text>
    </comment>
    <comment ref="V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25.10.13; 30.10.13</t>
        </r>
      </text>
    </comment>
    <comment ref="P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11.07.13</t>
        </r>
      </text>
    </comment>
    <comment ref="T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13.08.13</t>
        </r>
      </text>
    </comment>
    <comment ref="X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07.11.13</t>
        </r>
      </text>
    </comment>
    <comment ref="N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25.06.13; 28.06.13</t>
        </r>
      </text>
    </comment>
    <comment ref="R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23.08.13</t>
        </r>
      </text>
    </comment>
    <comment ref="P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30.07.13</t>
        </r>
      </text>
    </comment>
    <comment ref="R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29.08.13</t>
        </r>
      </text>
    </comment>
    <comment ref="Z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12.12.13</t>
        </r>
      </text>
    </comment>
    <comment ref="N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24.06.13</t>
        </r>
      </text>
    </comment>
    <comment ref="P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22.07.13</t>
        </r>
      </text>
    </comment>
    <comment ref="R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12.08.13</t>
        </r>
      </text>
    </comment>
    <comment ref="T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11.09.13</t>
        </r>
      </text>
    </comment>
    <comment ref="V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31.10.13</t>
        </r>
      </text>
    </comment>
    <comment ref="R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21.08.13</t>
        </r>
      </text>
    </comment>
    <comment ref="N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18.06.13</t>
        </r>
      </text>
    </comment>
    <comment ref="T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09.09.13</t>
        </r>
      </text>
    </comment>
    <comment ref="V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01.10.13</t>
        </r>
      </text>
    </comment>
    <comment ref="N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28.06.13</t>
        </r>
      </text>
    </comment>
    <comment ref="R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14.08.13</t>
        </r>
      </text>
    </comment>
    <comment ref="N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17.06.13</t>
        </r>
      </text>
    </comment>
    <comment ref="P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22.07.13</t>
        </r>
      </text>
    </comment>
    <comment ref="V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21.10.13</t>
        </r>
      </text>
    </comment>
    <comment ref="V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16.10.13</t>
        </r>
      </text>
    </comment>
    <comment ref="N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26.06.13</t>
        </r>
      </text>
    </comment>
    <comment ref="P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16.07.13</t>
        </r>
      </text>
    </comment>
    <comment ref="T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19.09.13</t>
        </r>
      </text>
    </comment>
    <comment ref="N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24.06.13</t>
        </r>
      </text>
    </comment>
    <comment ref="R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19.08.13</t>
        </r>
      </text>
    </comment>
    <comment ref="T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09.09.13</t>
        </r>
      </text>
    </comment>
    <comment ref="V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11.10.13</t>
        </r>
      </text>
    </comment>
    <comment ref="P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02.07.13</t>
        </r>
      </text>
    </comment>
    <comment ref="T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10.09.13</t>
        </r>
      </text>
    </comment>
    <comment ref="N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13.06.13</t>
        </r>
      </text>
    </comment>
    <comment ref="P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05.07.13</t>
        </r>
      </text>
    </comment>
    <comment ref="T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16.09.13</t>
        </r>
      </text>
    </comment>
    <comment ref="Z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12.12.13</t>
        </r>
      </text>
    </comment>
    <comment ref="H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15.03.13</t>
        </r>
      </text>
    </comment>
    <comment ref="N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04.06.13</t>
        </r>
      </text>
    </comment>
    <comment ref="V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03.10.13</t>
        </r>
      </text>
    </comment>
    <comment ref="J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19.04.13</t>
        </r>
      </text>
    </comment>
    <comment ref="L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07.05.13</t>
        </r>
      </text>
    </comment>
    <comment ref="P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08.07.13</t>
        </r>
      </text>
    </comment>
    <comment ref="T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06.09.13</t>
        </r>
      </text>
    </comment>
    <comment ref="X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06.11.13</t>
        </r>
      </text>
    </comment>
    <comment ref="N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20.06.13</t>
        </r>
      </text>
    </comment>
    <comment ref="P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16.07.13</t>
        </r>
      </text>
    </comment>
    <comment ref="R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09.08.13</t>
        </r>
      </text>
    </comment>
    <comment ref="T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30.09.13</t>
        </r>
      </text>
    </comment>
    <comment ref="P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22.07.13</t>
        </r>
      </text>
    </comment>
    <comment ref="R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23.08.13</t>
        </r>
      </text>
    </comment>
    <comment ref="T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18.09.13</t>
        </r>
      </text>
    </comment>
    <comment ref="V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18.10.13</t>
        </r>
      </text>
    </comment>
    <comment ref="X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22.11.13</t>
        </r>
      </text>
    </comment>
    <comment ref="T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27.09.13</t>
        </r>
      </text>
    </comment>
    <comment ref="P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02.07.13</t>
        </r>
      </text>
    </comment>
    <comment ref="T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03.09.13</t>
        </r>
      </text>
    </comment>
    <comment ref="R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07.08.13</t>
        </r>
      </text>
    </comment>
    <comment ref="V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10.10.13</t>
        </r>
      </text>
    </comment>
    <comment ref="Z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16.12.13</t>
        </r>
      </text>
    </comment>
    <comment ref="L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21.05.13</t>
        </r>
      </text>
    </comment>
    <comment ref="N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21.06.13</t>
        </r>
      </text>
    </comment>
    <comment ref="P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24.07.13</t>
        </r>
      </text>
    </comment>
    <comment ref="R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05.08.13</t>
        </r>
      </text>
    </comment>
    <comment ref="T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16.09.13</t>
        </r>
      </text>
    </comment>
    <comment ref="V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21.10.13</t>
        </r>
      </text>
    </comment>
    <comment ref="X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18.11.13</t>
        </r>
      </text>
    </comment>
    <comment ref="Z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06.12.13</t>
        </r>
      </text>
    </comment>
    <comment ref="N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24.06.13</t>
        </r>
      </text>
    </comment>
    <comment ref="H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07.03.13</t>
        </r>
      </text>
    </comment>
    <comment ref="N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10.06.13</t>
        </r>
      </text>
    </comment>
    <comment ref="R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16.08.13</t>
        </r>
      </text>
    </comment>
    <comment ref="V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02.10.13</t>
        </r>
      </text>
    </comment>
    <comment ref="X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10.12.13</t>
        </r>
      </text>
    </comment>
    <comment ref="Z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10.12.13</t>
        </r>
      </text>
    </comment>
    <comment ref="P9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12.07.13</t>
        </r>
      </text>
    </comment>
    <comment ref="N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06.06.13</t>
        </r>
      </text>
    </comment>
    <comment ref="P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11.07.13</t>
        </r>
      </text>
    </comment>
    <comment ref="Z9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23.12.13</t>
        </r>
      </text>
    </comment>
  </commentList>
</comments>
</file>

<file path=xl/comments8.xml><?xml version="1.0" encoding="utf-8"?>
<comments xmlns="http://schemas.openxmlformats.org/spreadsheetml/2006/main">
  <authors>
    <author>lenovo</author>
  </authors>
  <commentLis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08.02.12</t>
        </r>
      </text>
    </comment>
    <comment ref="J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06.04.12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24.05.12</t>
        </r>
      </text>
    </comment>
    <comment ref="N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06.06.12</t>
        </r>
      </text>
    </comment>
    <comment ref="P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R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21.08.12</t>
        </r>
      </text>
    </comment>
    <comment ref="V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15.10.12</t>
        </r>
      </text>
    </comment>
    <comment ref="Z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07.12.12</t>
        </r>
      </text>
    </comment>
    <comment ref="R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27.08.12</t>
        </r>
      </text>
    </comment>
    <comment ref="T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R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P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T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вед.20</t>
        </r>
      </text>
    </comment>
    <comment ref="T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V1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22.10.12</t>
        </r>
      </text>
    </comment>
    <comment ref="P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R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T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V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29.10.12</t>
        </r>
      </text>
    </comment>
    <comment ref="P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T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V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вед.18</t>
        </r>
      </text>
    </comment>
    <comment ref="X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08.11.12</t>
        </r>
      </text>
    </comment>
    <comment ref="N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R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V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19.10.12</t>
        </r>
      </text>
    </comment>
    <comment ref="X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12.11.12</t>
        </r>
      </text>
    </comment>
    <comment ref="P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T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F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21.02.12</t>
        </r>
      </text>
    </comment>
    <comment ref="P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X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21.11.12</t>
        </r>
      </text>
    </comment>
    <comment ref="N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T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вед.15;вед.20</t>
        </r>
      </text>
    </comment>
    <comment ref="N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R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T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</t>
        </r>
      </text>
    </comment>
    <comment ref="V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16.10.12</t>
        </r>
      </text>
    </comment>
    <comment ref="Z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05.12.12</t>
        </r>
      </text>
    </comment>
    <comment ref="T2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N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P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R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T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T2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V2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24.10.12</t>
        </r>
      </text>
    </comment>
    <comment ref="N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T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</t>
        </r>
      </text>
    </comment>
    <comment ref="T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вед.17</t>
        </r>
      </text>
    </comment>
    <comment ref="P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T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N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T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вед.16; вед.18</t>
        </r>
      </text>
    </comment>
    <comment ref="P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T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вед.17; вед.20</t>
        </r>
      </text>
    </comment>
    <comment ref="N3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T3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N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04.06.12</t>
        </r>
      </text>
    </comment>
    <comment ref="P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R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07.08.12</t>
        </r>
      </text>
    </comment>
    <comment ref="T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24.09.12</t>
        </r>
      </text>
    </comment>
    <comment ref="V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R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07.08.12</t>
        </r>
      </text>
    </comment>
    <comment ref="T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17.09.12</t>
        </r>
      </text>
    </comment>
    <comment ref="V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P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T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вед.20</t>
        </r>
      </text>
    </comment>
    <comment ref="P3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V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N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T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вед.17; вед.21</t>
        </r>
      </text>
    </comment>
    <comment ref="N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P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R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T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вед.17; вед.20</t>
        </r>
      </text>
    </comment>
    <comment ref="P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T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P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R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T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V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16.10.12</t>
        </r>
      </text>
    </comment>
    <comment ref="X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15.11.12</t>
        </r>
      </text>
    </comment>
    <comment ref="R4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Z4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21.12.12</t>
        </r>
      </text>
    </comment>
    <comment ref="L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11.05.12</t>
        </r>
      </text>
    </comment>
    <comment ref="P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19.07.12</t>
        </r>
      </text>
    </comment>
    <comment ref="Z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04.12.12 оплата в Мосэнергосбыт</t>
        </r>
      </text>
    </comment>
    <comment ref="P4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T4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</t>
        </r>
      </text>
    </comment>
    <comment ref="T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P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T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вед.19; вед.20</t>
        </r>
      </text>
    </comment>
    <comment ref="T5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вед.15; вед.16</t>
        </r>
      </text>
    </comment>
    <comment ref="N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07.06.12;18.06.12;</t>
        </r>
      </text>
    </comment>
    <comment ref="P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23.07.12</t>
        </r>
      </text>
    </comment>
    <comment ref="R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24.08.12</t>
        </r>
      </text>
    </comment>
    <comment ref="T5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25.09.12</t>
        </r>
      </text>
    </comment>
    <comment ref="V5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R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T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</t>
        </r>
      </text>
    </comment>
    <comment ref="V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N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P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R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T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V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N5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N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R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X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12.11.12</t>
        </r>
      </text>
    </comment>
    <comment ref="N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P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R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V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N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T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</t>
        </r>
      </text>
    </comment>
    <comment ref="P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N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T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вед.15; вед.20</t>
        </r>
      </text>
    </comment>
    <comment ref="T6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N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15.06.12</t>
        </r>
      </text>
    </comment>
    <comment ref="T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V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31.10.12</t>
        </r>
      </text>
    </comment>
    <comment ref="P6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R6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N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R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T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X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14.11.12</t>
        </r>
      </text>
    </comment>
    <comment ref="R6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P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25.07.12</t>
        </r>
      </text>
    </comment>
    <comment ref="R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X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22.11.12</t>
        </r>
      </text>
    </comment>
    <comment ref="P6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T6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P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P7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P7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T7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V7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31.10.12</t>
        </r>
      </text>
    </comment>
    <comment ref="N7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N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R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T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N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R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T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V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16.10.12</t>
        </r>
      </text>
    </comment>
    <comment ref="N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R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L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24.05.12</t>
        </r>
      </text>
    </comment>
    <comment ref="R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R8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N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T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V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08.10.12</t>
        </r>
      </text>
    </comment>
    <comment ref="X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07.11.12</t>
        </r>
      </text>
    </comment>
    <comment ref="P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R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T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P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вед.8;вед.9</t>
        </r>
      </text>
    </comment>
    <comment ref="R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T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Z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06.12.12</t>
        </r>
      </text>
    </comment>
    <comment ref="R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V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X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23.11.12</t>
        </r>
      </text>
    </comment>
    <comment ref="R8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P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T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вед.15; вед.21</t>
        </r>
      </text>
    </comment>
    <comment ref="N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Z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04.12.12</t>
        </r>
      </text>
    </comment>
    <comment ref="P8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T9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вед.20</t>
        </r>
      </text>
    </comment>
    <comment ref="T9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N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T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V9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P9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V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22.10.12</t>
        </r>
      </text>
    </comment>
    <comment ref="N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T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X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16.11.12</t>
        </r>
      </text>
    </comment>
    <comment ref="N9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T9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07.09.12</t>
        </r>
      </text>
    </comment>
    <comment ref="N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R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T9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вед.17</t>
        </r>
      </text>
    </comment>
  </commentList>
</comments>
</file>

<file path=xl/comments9.xml><?xml version="1.0" encoding="utf-8"?>
<comments xmlns="http://schemas.openxmlformats.org/spreadsheetml/2006/main">
  <authors>
    <author>lenovo</author>
  </authors>
  <commentList>
    <comment ref="D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членская книжка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12.01.12 г.</t>
        </r>
      </text>
    </comment>
    <comment ref="H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20.01.12</t>
        </r>
      </text>
    </comment>
    <comment ref="D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30.01.12</t>
        </r>
      </text>
    </comment>
    <comment ref="F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30.01.12</t>
        </r>
      </text>
    </comment>
    <comment ref="H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30.01.12</t>
        </r>
      </text>
    </comment>
    <comment ref="F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02.11.11</t>
        </r>
      </text>
    </comment>
    <comment ref="H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12.01.12</t>
        </r>
      </text>
    </comment>
  </commentList>
</comments>
</file>

<file path=xl/sharedStrings.xml><?xml version="1.0" encoding="utf-8"?>
<sst xmlns="http://schemas.openxmlformats.org/spreadsheetml/2006/main" count="2294" uniqueCount="218">
  <si>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</si>
  <si>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</si>
  <si>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</si>
  <si>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</si>
  <si>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</si>
  <si>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</si>
  <si>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</si>
  <si>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</si>
  <si>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</si>
  <si>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</si>
  <si>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</si>
  <si>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</si>
  <si>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</si>
  <si>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</si>
  <si>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</si>
  <si>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</si>
  <si>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</si>
  <si>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</si>
  <si>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</si>
  <si>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</si>
  <si>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</si>
  <si>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</si>
  <si>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</si>
  <si>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</si>
  <si>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</si>
  <si>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</si>
  <si>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</si>
  <si>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</si>
  <si>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</si>
  <si>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</si>
  <si>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</si>
  <si>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</si>
  <si>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</si>
  <si>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</si>
  <si>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</si>
  <si>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</si>
  <si>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</si>
  <si>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</si>
  <si>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</si>
  <si>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</si>
  <si>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</si>
  <si>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</si>
  <si>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</si>
  <si>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</si>
  <si>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</si>
  <si>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</si>
  <si>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</si>
  <si>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</si>
  <si>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</si>
  <si>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</si>
  <si>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</si>
  <si>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</si>
  <si>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</si>
  <si>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</si>
  <si>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</si>
  <si>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</si>
  <si>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</si>
  <si>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</si>
  <si>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</si>
  <si>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</si>
  <si>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</si>
  <si>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</si>
  <si>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</si>
  <si>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</si>
  <si>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</si>
  <si>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</si>
  <si>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</si>
  <si>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</si>
  <si>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</si>
  <si>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</si>
  <si>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</si>
  <si>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</si>
  <si>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</si>
  <si>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</si>
  <si>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</si>
  <si>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</si>
  <si>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</si>
  <si>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</si>
  <si>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</si>
  <si>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</si>
  <si>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</si>
  <si>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</si>
  <si>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</si>
  <si>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</si>
  <si>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</si>
  <si>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2016/2017</t>
  </si>
  <si>
    <t>№35А</t>
  </si>
  <si>
    <t>№35Б</t>
  </si>
  <si>
    <t>№38</t>
  </si>
  <si>
    <t>№55А</t>
  </si>
  <si>
    <t>№74,4</t>
  </si>
  <si>
    <t>Оплата членских взносов</t>
  </si>
  <si>
    <t>2015/2016</t>
  </si>
  <si>
    <t>2014/2015</t>
  </si>
  <si>
    <t>2013/2014</t>
  </si>
  <si>
    <t>2012/2013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</si>
  <si>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</si>
  <si>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</si>
  <si>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</si>
  <si>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</si>
  <si>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</si>
  <si>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</si>
  <si>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</si>
  <si>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</si>
  <si>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</si>
  <si>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</si>
  <si>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</si>
  <si>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</si>
  <si>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</si>
  <si>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</si>
  <si>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</si>
  <si>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</si>
  <si>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Пухова</t>
  </si>
  <si>
    <t>Ермилина</t>
  </si>
  <si>
    <t>Артюхова</t>
  </si>
  <si>
    <t>Волчкова</t>
  </si>
  <si>
    <t>Горбунов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</si>
  <si>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</si>
  <si>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</si>
  <si>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</si>
  <si>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</si>
  <si>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</si>
  <si>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</si>
  <si>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</si>
  <si>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</si>
  <si>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</si>
  <si>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</si>
  <si>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</si>
  <si>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</si>
  <si>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</si>
  <si>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</si>
  <si>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</si>
  <si>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</si>
  <si>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</si>
  <si>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Макарычев</t>
  </si>
  <si>
    <t>Александрова</t>
  </si>
  <si>
    <t>Макаренков</t>
  </si>
  <si>
    <t>Степанова</t>
  </si>
  <si>
    <t>Севастьянов</t>
  </si>
  <si>
    <t>Жаркова, Филим</t>
  </si>
  <si>
    <t>Корчененкова</t>
  </si>
  <si>
    <t>Солдатов А.</t>
  </si>
  <si>
    <t>Солдатов Ю.</t>
  </si>
  <si>
    <t>Глот</t>
  </si>
  <si>
    <t>Власова</t>
  </si>
  <si>
    <t>Яхонтова</t>
  </si>
  <si>
    <t>Ромашина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</si>
  <si>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</si>
  <si>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</si>
  <si>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</si>
  <si>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</si>
  <si>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</si>
  <si>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</si>
  <si>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</si>
  <si>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</si>
  <si>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</si>
  <si>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</si>
  <si>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</si>
  <si>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</si>
  <si>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</si>
  <si>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</si>
  <si>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Гаврилова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</si>
  <si>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</si>
  <si>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</si>
  <si>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</si>
  <si>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</si>
  <si>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</si>
  <si>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</si>
  <si>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</si>
  <si>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Яковлева</t>
  </si>
  <si>
    <t>Осипова И.</t>
  </si>
  <si>
    <t>Кулишкин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</si>
  <si>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</si>
  <si>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</si>
  <si>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</si>
  <si>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</si>
  <si>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</si>
  <si>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</si>
  <si>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</si>
  <si>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Виленкина</t>
  </si>
  <si>
    <t>Бордюк</t>
  </si>
  <si>
    <t>Виноградов</t>
  </si>
  <si>
    <t>№74</t>
  </si>
  <si>
    <t>сторожка</t>
  </si>
  <si>
    <t>№67</t>
  </si>
  <si>
    <t>№62А</t>
  </si>
  <si>
    <t>№61А</t>
  </si>
  <si>
    <t>№55</t>
  </si>
  <si>
    <t>Солдатов С.</t>
  </si>
  <si>
    <t>Осипова О.</t>
  </si>
  <si>
    <t>Осипова, Яковл.</t>
  </si>
  <si>
    <t>№35</t>
  </si>
  <si>
    <t>Андреева</t>
  </si>
  <si>
    <t>№26Б</t>
  </si>
  <si>
    <t>2017</t>
  </si>
  <si>
    <t>2016</t>
  </si>
  <si>
    <t>2015</t>
  </si>
  <si>
    <t>2014</t>
  </si>
  <si>
    <t>2013</t>
  </si>
  <si>
    <t>2012</t>
  </si>
  <si>
    <t>2011</t>
  </si>
  <si>
    <t>Горбунова</t>
  </si>
  <si>
    <t xml:space="preserve"> -  р. </t>
  </si>
  <si>
    <t>Чеглова</t>
  </si>
  <si>
    <t>Панушкин</t>
  </si>
  <si>
    <t>Бирюков</t>
  </si>
  <si>
    <t>Виноградова</t>
  </si>
  <si>
    <t>Ребрина</t>
  </si>
  <si>
    <t xml:space="preserve"> май 2014</t>
  </si>
  <si>
    <t>Кочергова, Наз.</t>
  </si>
  <si>
    <t>Жаркова, Фил.</t>
  </si>
  <si>
    <t>ИТОГО</t>
  </si>
  <si>
    <t>2018</t>
  </si>
  <si>
    <t xml:space="preserve"> </t>
  </si>
  <si>
    <t>Сухова</t>
  </si>
  <si>
    <t>Червяков</t>
  </si>
  <si>
    <t>Колесников</t>
  </si>
  <si>
    <t>Бордюг</t>
  </si>
</sst>
</file>

<file path=xl/styles.xml><?xml version="1.0" encoding="utf-8"?>
<styleSheet xmlns="http://schemas.openxmlformats.org/spreadsheetml/2006/main">
  <numFmts count="3">
    <numFmt numFmtId="8" formatCode="#,##0.00&quot;р.&quot;;[Red]\-#,##0.00&quot;р.&quot;"/>
    <numFmt numFmtId="44" formatCode="_-* #,##0.00&quot;р.&quot;_-;\-* #,##0.00&quot;р.&quot;_-;_-* &quot;-&quot;??&quot;р.&quot;_-;_-@_-"/>
    <numFmt numFmtId="164" formatCode="#,##0.00&quot;р.&quot;"/>
  </numFmts>
  <fonts count="17">
    <font>
      <sz val="11"/>
      <color theme="1"/>
      <name val="Calibri"/>
      <family val="2"/>
      <charset val="204"/>
      <scheme val="minor"/>
    </font>
    <font>
      <b/>
      <sz val="12"/>
      <name val="Arial Cyr"/>
      <family val="2"/>
      <charset val="204"/>
    </font>
    <font>
      <b/>
      <sz val="12"/>
      <color indexed="10"/>
      <name val="Arial Cyr"/>
      <family val="2"/>
      <charset val="204"/>
    </font>
    <font>
      <sz val="10"/>
      <name val="Arial Cyr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Times New Roman"/>
      <family val="1"/>
      <charset val="204"/>
    </font>
    <font>
      <b/>
      <sz val="12"/>
      <color rgb="FFFF0000"/>
      <name val="Arial Cyr"/>
      <family val="2"/>
      <charset val="204"/>
    </font>
    <font>
      <b/>
      <sz val="12"/>
      <color rgb="FFFF000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Arial Cyr"/>
      <charset val="204"/>
    </font>
    <font>
      <b/>
      <sz val="11"/>
      <color indexed="81"/>
      <name val="Calibri"/>
      <family val="2"/>
      <charset val="204"/>
      <scheme val="minor"/>
    </font>
    <font>
      <sz val="11"/>
      <color indexed="8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Fill="0"/>
  </cellStyleXfs>
  <cellXfs count="131">
    <xf numFmtId="0" fontId="0" fillId="0" borderId="0" xfId="0"/>
    <xf numFmtId="0" fontId="0" fillId="0" borderId="2" xfId="0" applyNumberFormat="1" applyBorder="1" applyAlignment="1">
      <alignment horizontal="center"/>
    </xf>
    <xf numFmtId="164" fontId="0" fillId="0" borderId="0" xfId="0" applyNumberFormat="1"/>
    <xf numFmtId="49" fontId="2" fillId="0" borderId="1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49" fontId="1" fillId="0" borderId="3" xfId="0" applyNumberFormat="1" applyFont="1" applyBorder="1" applyAlignment="1">
      <alignment vertical="center"/>
    </xf>
    <xf numFmtId="44" fontId="0" fillId="0" borderId="1" xfId="0" applyNumberFormat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44" fontId="0" fillId="0" borderId="0" xfId="0" applyNumberFormat="1"/>
    <xf numFmtId="8" fontId="0" fillId="0" borderId="0" xfId="0" applyNumberFormat="1"/>
    <xf numFmtId="17" fontId="2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vertical="center"/>
    </xf>
    <xf numFmtId="0" fontId="0" fillId="0" borderId="2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44" fontId="0" fillId="0" borderId="2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0" borderId="2" xfId="0" applyNumberFormat="1" applyFill="1" applyBorder="1" applyAlignment="1">
      <alignment horizontal="right"/>
    </xf>
    <xf numFmtId="164" fontId="0" fillId="0" borderId="2" xfId="0" applyNumberFormat="1" applyBorder="1" applyAlignment="1"/>
    <xf numFmtId="164" fontId="0" fillId="0" borderId="1" xfId="0" applyNumberFormat="1" applyFill="1" applyBorder="1" applyAlignment="1">
      <alignment horizontal="right"/>
    </xf>
    <xf numFmtId="0" fontId="0" fillId="2" borderId="2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44" fontId="0" fillId="2" borderId="2" xfId="0" applyNumberFormat="1" applyFill="1" applyBorder="1" applyAlignment="1">
      <alignment horizont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right" vertical="center"/>
    </xf>
    <xf numFmtId="164" fontId="0" fillId="3" borderId="2" xfId="0" applyNumberFormat="1" applyFill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/>
    </xf>
    <xf numFmtId="164" fontId="0" fillId="3" borderId="5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2" xfId="0" applyNumberFormat="1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2" xfId="0" applyNumberFormat="1" applyFill="1" applyBorder="1" applyAlignment="1">
      <alignment horizontal="left"/>
    </xf>
    <xf numFmtId="44" fontId="0" fillId="0" borderId="2" xfId="0" applyNumberFormat="1" applyBorder="1" applyAlignment="1">
      <alignment horizontal="right"/>
    </xf>
    <xf numFmtId="164" fontId="2" fillId="0" borderId="1" xfId="0" applyNumberFormat="1" applyFont="1" applyBorder="1"/>
    <xf numFmtId="164" fontId="2" fillId="5" borderId="1" xfId="0" applyNumberFormat="1" applyFont="1" applyFill="1" applyBorder="1"/>
    <xf numFmtId="44" fontId="0" fillId="5" borderId="2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right"/>
    </xf>
    <xf numFmtId="164" fontId="0" fillId="5" borderId="2" xfId="0" applyNumberFormat="1" applyFill="1" applyBorder="1" applyAlignment="1">
      <alignment horizontal="left"/>
    </xf>
    <xf numFmtId="0" fontId="0" fillId="5" borderId="2" xfId="0" applyNumberFormat="1" applyFill="1" applyBorder="1" applyAlignment="1">
      <alignment horizontal="center"/>
    </xf>
    <xf numFmtId="164" fontId="2" fillId="0" borderId="1" xfId="0" applyNumberFormat="1" applyFont="1" applyBorder="1" applyAlignment="1"/>
    <xf numFmtId="164" fontId="0" fillId="5" borderId="2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vertical="center"/>
    </xf>
    <xf numFmtId="164" fontId="0" fillId="0" borderId="2" xfId="0" applyNumberFormat="1" applyBorder="1" applyAlignment="1">
      <alignment horizontal="right" vertical="center"/>
    </xf>
    <xf numFmtId="44" fontId="0" fillId="5" borderId="2" xfId="0" applyNumberFormat="1" applyFill="1" applyBorder="1" applyAlignment="1">
      <alignment horizontal="right"/>
    </xf>
    <xf numFmtId="164" fontId="0" fillId="6" borderId="2" xfId="0" applyNumberFormat="1" applyFill="1" applyBorder="1" applyAlignment="1">
      <alignment horizontal="center"/>
    </xf>
    <xf numFmtId="164" fontId="0" fillId="6" borderId="2" xfId="0" applyNumberFormat="1" applyFill="1" applyBorder="1" applyAlignment="1">
      <alignment horizontal="right"/>
    </xf>
    <xf numFmtId="164" fontId="0" fillId="6" borderId="2" xfId="0" applyNumberFormat="1" applyFill="1" applyBorder="1" applyAlignment="1">
      <alignment horizontal="right" vertical="center"/>
    </xf>
    <xf numFmtId="44" fontId="0" fillId="6" borderId="2" xfId="0" applyNumberFormat="1" applyFill="1" applyBorder="1" applyAlignment="1">
      <alignment horizontal="right"/>
    </xf>
    <xf numFmtId="164" fontId="0" fillId="6" borderId="2" xfId="0" applyNumberFormat="1" applyFill="1" applyBorder="1" applyAlignment="1">
      <alignment horizontal="left"/>
    </xf>
    <xf numFmtId="0" fontId="0" fillId="6" borderId="2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0" borderId="0" xfId="0" applyFill="1"/>
    <xf numFmtId="164" fontId="0" fillId="0" borderId="2" xfId="0" applyNumberFormat="1" applyFill="1" applyBorder="1" applyAlignment="1">
      <alignment horizontal="right" vertical="center"/>
    </xf>
    <xf numFmtId="44" fontId="0" fillId="0" borderId="2" xfId="0" applyNumberFormat="1" applyFill="1" applyBorder="1" applyAlignment="1">
      <alignment horizontal="right"/>
    </xf>
    <xf numFmtId="0" fontId="0" fillId="5" borderId="0" xfId="0" applyFill="1"/>
    <xf numFmtId="164" fontId="0" fillId="0" borderId="1" xfId="0" applyNumberFormat="1" applyBorder="1" applyAlignment="1">
      <alignment horizontal="right" vertical="center"/>
    </xf>
    <xf numFmtId="44" fontId="0" fillId="0" borderId="1" xfId="0" applyNumberFormat="1" applyBorder="1" applyAlignment="1">
      <alignment horizontal="right"/>
    </xf>
    <xf numFmtId="164" fontId="0" fillId="7" borderId="2" xfId="0" applyNumberFormat="1" applyFill="1" applyBorder="1" applyAlignment="1">
      <alignment horizontal="center"/>
    </xf>
    <xf numFmtId="164" fontId="0" fillId="7" borderId="2" xfId="0" applyNumberFormat="1" applyFill="1" applyBorder="1" applyAlignment="1">
      <alignment horizontal="right"/>
    </xf>
    <xf numFmtId="164" fontId="0" fillId="7" borderId="2" xfId="0" applyNumberFormat="1" applyFill="1" applyBorder="1" applyAlignment="1">
      <alignment horizontal="left"/>
    </xf>
    <xf numFmtId="0" fontId="0" fillId="7" borderId="2" xfId="0" applyNumberFormat="1" applyFill="1" applyBorder="1" applyAlignment="1">
      <alignment horizontal="center"/>
    </xf>
    <xf numFmtId="0" fontId="0" fillId="8" borderId="2" xfId="0" applyNumberFormat="1" applyFill="1" applyBorder="1" applyAlignment="1">
      <alignment horizontal="center"/>
    </xf>
    <xf numFmtId="164" fontId="0" fillId="9" borderId="2" xfId="0" applyNumberForma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7" fontId="1" fillId="0" borderId="3" xfId="0" applyNumberFormat="1" applyFont="1" applyBorder="1" applyAlignment="1">
      <alignment horizontal="center" vertical="center"/>
    </xf>
    <xf numFmtId="8" fontId="0" fillId="0" borderId="2" xfId="0" applyNumberFormat="1" applyBorder="1" applyAlignment="1">
      <alignment horizontal="right"/>
    </xf>
    <xf numFmtId="8" fontId="0" fillId="5" borderId="2" xfId="0" applyNumberFormat="1" applyFill="1" applyBorder="1" applyAlignment="1">
      <alignment horizontal="right"/>
    </xf>
    <xf numFmtId="8" fontId="0" fillId="7" borderId="2" xfId="0" applyNumberFormat="1" applyFill="1" applyBorder="1" applyAlignment="1">
      <alignment horizontal="right"/>
    </xf>
    <xf numFmtId="0" fontId="0" fillId="10" borderId="2" xfId="0" applyNumberFormat="1" applyFill="1" applyBorder="1" applyAlignment="1">
      <alignment horizontal="center"/>
    </xf>
    <xf numFmtId="8" fontId="0" fillId="0" borderId="1" xfId="0" applyNumberFormat="1" applyBorder="1" applyAlignment="1">
      <alignment horizontal="right"/>
    </xf>
    <xf numFmtId="8" fontId="0" fillId="0" borderId="2" xfId="0" applyNumberFormat="1" applyBorder="1" applyAlignment="1">
      <alignment horizontal="center"/>
    </xf>
    <xf numFmtId="164" fontId="14" fillId="7" borderId="2" xfId="0" applyNumberFormat="1" applyFont="1" applyFill="1" applyBorder="1" applyAlignment="1">
      <alignment horizontal="center"/>
    </xf>
    <xf numFmtId="164" fontId="14" fillId="7" borderId="2" xfId="0" applyNumberFormat="1" applyFont="1" applyFill="1" applyBorder="1" applyAlignment="1">
      <alignment horizontal="right"/>
    </xf>
    <xf numFmtId="8" fontId="14" fillId="7" borderId="2" xfId="0" applyNumberFormat="1" applyFont="1" applyFill="1" applyBorder="1" applyAlignment="1">
      <alignment horizontal="right"/>
    </xf>
    <xf numFmtId="164" fontId="14" fillId="7" borderId="2" xfId="0" applyNumberFormat="1" applyFont="1" applyFill="1" applyBorder="1" applyAlignment="1">
      <alignment horizontal="left"/>
    </xf>
    <xf numFmtId="0" fontId="14" fillId="7" borderId="2" xfId="0" applyNumberFormat="1" applyFont="1" applyFill="1" applyBorder="1" applyAlignment="1">
      <alignment horizontal="center"/>
    </xf>
    <xf numFmtId="164" fontId="0" fillId="9" borderId="2" xfId="0" applyNumberFormat="1" applyFill="1" applyBorder="1" applyAlignment="1">
      <alignment horizontal="left"/>
    </xf>
    <xf numFmtId="0" fontId="0" fillId="4" borderId="2" xfId="0" applyNumberFormat="1" applyFill="1" applyBorder="1" applyAlignment="1">
      <alignment horizontal="center"/>
    </xf>
    <xf numFmtId="164" fontId="0" fillId="11" borderId="2" xfId="0" applyNumberFormat="1" applyFill="1" applyBorder="1" applyAlignment="1">
      <alignment horizontal="left"/>
    </xf>
    <xf numFmtId="0" fontId="0" fillId="11" borderId="2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right"/>
    </xf>
    <xf numFmtId="164" fontId="0" fillId="7" borderId="1" xfId="0" applyNumberFormat="1" applyFill="1" applyBorder="1" applyAlignment="1">
      <alignment horizontal="right"/>
    </xf>
    <xf numFmtId="164" fontId="15" fillId="0" borderId="1" xfId="0" applyNumberFormat="1" applyFont="1" applyBorder="1" applyAlignment="1">
      <alignment horizontal="left"/>
    </xf>
    <xf numFmtId="44" fontId="0" fillId="7" borderId="2" xfId="0" applyNumberFormat="1" applyFill="1" applyBorder="1" applyAlignment="1">
      <alignment horizontal="center"/>
    </xf>
    <xf numFmtId="49" fontId="1" fillId="0" borderId="5" xfId="0" applyNumberFormat="1" applyFont="1" applyBorder="1" applyAlignment="1">
      <alignment vertical="center"/>
    </xf>
    <xf numFmtId="164" fontId="2" fillId="0" borderId="2" xfId="0" applyNumberFormat="1" applyFont="1" applyBorder="1"/>
    <xf numFmtId="49" fontId="1" fillId="0" borderId="8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right"/>
    </xf>
    <xf numFmtId="164" fontId="0" fillId="0" borderId="10" xfId="0" applyNumberFormat="1" applyBorder="1" applyAlignment="1">
      <alignment horizontal="right"/>
    </xf>
    <xf numFmtId="164" fontId="0" fillId="0" borderId="11" xfId="0" applyNumberFormat="1" applyBorder="1" applyAlignment="1">
      <alignment horizontal="right"/>
    </xf>
    <xf numFmtId="164" fontId="0" fillId="0" borderId="9" xfId="0" applyNumberFormat="1" applyBorder="1" applyAlignment="1">
      <alignment horizontal="left" vertical="center"/>
    </xf>
    <xf numFmtId="164" fontId="0" fillId="0" borderId="9" xfId="0" applyNumberFormat="1" applyBorder="1" applyAlignment="1">
      <alignment horizontal="left"/>
    </xf>
    <xf numFmtId="164" fontId="0" fillId="5" borderId="9" xfId="0" applyNumberFormat="1" applyFill="1" applyBorder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44" fontId="0" fillId="0" borderId="5" xfId="0" applyNumberFormat="1" applyBorder="1" applyAlignment="1">
      <alignment horizontal="center"/>
    </xf>
    <xf numFmtId="44" fontId="0" fillId="0" borderId="14" xfId="0" applyNumberFormat="1" applyBorder="1" applyAlignment="1">
      <alignment horizontal="center"/>
    </xf>
    <xf numFmtId="44" fontId="0" fillId="5" borderId="14" xfId="0" applyNumberFormat="1" applyFill="1" applyBorder="1" applyAlignment="1">
      <alignment horizontal="center" vertical="center"/>
    </xf>
    <xf numFmtId="44" fontId="0" fillId="5" borderId="14" xfId="0" applyNumberFormat="1" applyFill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164" fontId="0" fillId="0" borderId="0" xfId="0" applyNumberFormat="1" applyBorder="1" applyAlignment="1">
      <alignment horizontal="left"/>
    </xf>
    <xf numFmtId="164" fontId="0" fillId="0" borderId="16" xfId="0" applyNumberFormat="1" applyBorder="1" applyAlignment="1">
      <alignment horizontal="right"/>
    </xf>
    <xf numFmtId="164" fontId="0" fillId="0" borderId="17" xfId="0" applyNumberFormat="1" applyBorder="1" applyAlignment="1">
      <alignment horizontal="right"/>
    </xf>
    <xf numFmtId="164" fontId="0" fillId="0" borderId="17" xfId="0" applyNumberFormat="1" applyBorder="1" applyAlignment="1">
      <alignment horizontal="center"/>
    </xf>
    <xf numFmtId="44" fontId="0" fillId="0" borderId="18" xfId="0" applyNumberFormat="1" applyBorder="1" applyAlignment="1">
      <alignment horizontal="center"/>
    </xf>
    <xf numFmtId="164" fontId="2" fillId="0" borderId="3" xfId="0" applyNumberFormat="1" applyFont="1" applyBorder="1"/>
    <xf numFmtId="164" fontId="16" fillId="0" borderId="4" xfId="0" applyNumberFormat="1" applyFont="1" applyBorder="1"/>
    <xf numFmtId="0" fontId="16" fillId="0" borderId="0" xfId="0" applyFont="1"/>
    <xf numFmtId="0" fontId="16" fillId="0" borderId="19" xfId="0" applyFont="1" applyBorder="1" applyAlignment="1"/>
    <xf numFmtId="0" fontId="16" fillId="0" borderId="8" xfId="0" applyFont="1" applyBorder="1" applyAlignment="1"/>
    <xf numFmtId="164" fontId="0" fillId="5" borderId="10" xfId="0" applyNumberFormat="1" applyFill="1" applyBorder="1" applyAlignment="1">
      <alignment horizontal="right"/>
    </xf>
    <xf numFmtId="164" fontId="0" fillId="5" borderId="12" xfId="0" applyNumberFormat="1" applyFill="1" applyBorder="1" applyAlignment="1">
      <alignment horizontal="right"/>
    </xf>
    <xf numFmtId="164" fontId="0" fillId="5" borderId="11" xfId="0" applyNumberFormat="1" applyFill="1" applyBorder="1" applyAlignment="1">
      <alignment horizontal="right"/>
    </xf>
    <xf numFmtId="0" fontId="6" fillId="0" borderId="7" xfId="0" applyFont="1" applyBorder="1" applyAlignment="1">
      <alignment horizontal="center" vertical="center"/>
    </xf>
    <xf numFmtId="164" fontId="0" fillId="0" borderId="14" xfId="0" applyNumberFormat="1" applyBorder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0"/>
  <sheetViews>
    <sheetView workbookViewId="0">
      <pane xSplit="2" ySplit="2" topLeftCell="C3" activePane="bottomRight" state="frozen"/>
      <selection pane="topRight" activeCell="C1" sqref="C1"/>
      <selection pane="bottomLeft" activeCell="A11" sqref="A11"/>
      <selection pane="bottomRight" activeCell="I4" sqref="I4"/>
    </sheetView>
  </sheetViews>
  <sheetFormatPr defaultRowHeight="15"/>
  <cols>
    <col min="1" max="1" width="10.28515625" bestFit="1" customWidth="1"/>
    <col min="2" max="8" width="17.28515625" customWidth="1"/>
    <col min="9" max="9" width="17.5703125" customWidth="1"/>
    <col min="10" max="10" width="15.5703125" customWidth="1"/>
    <col min="11" max="11" width="17.28515625" style="2" bestFit="1" customWidth="1"/>
    <col min="12" max="12" width="19.85546875" style="2" customWidth="1"/>
    <col min="13" max="13" width="17.85546875" customWidth="1"/>
    <col min="14" max="14" width="18.28515625" customWidth="1"/>
  </cols>
  <sheetData>
    <row r="1" spans="1:14" ht="38.450000000000003" customHeight="1" thickBot="1">
      <c r="A1" s="129" t="s">
        <v>91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4" ht="26.25" customHeight="1" thickBot="1">
      <c r="A2" s="11" t="s">
        <v>0</v>
      </c>
      <c r="B2" s="27" t="s">
        <v>96</v>
      </c>
      <c r="C2" s="27" t="s">
        <v>95</v>
      </c>
      <c r="D2" s="28"/>
      <c r="E2" s="27" t="s">
        <v>94</v>
      </c>
      <c r="F2" s="11"/>
      <c r="G2" s="24" t="s">
        <v>93</v>
      </c>
      <c r="H2" s="11"/>
      <c r="I2" s="25" t="s">
        <v>92</v>
      </c>
      <c r="J2" s="5"/>
      <c r="K2" s="26" t="s">
        <v>85</v>
      </c>
      <c r="L2" s="3"/>
      <c r="M2" s="10"/>
      <c r="N2" s="31" t="s">
        <v>84</v>
      </c>
    </row>
    <row r="3" spans="1:14" ht="16.5" thickBot="1">
      <c r="A3" s="1" t="s">
        <v>1</v>
      </c>
      <c r="B3" s="35" t="s">
        <v>97</v>
      </c>
      <c r="C3" s="16">
        <v>7300</v>
      </c>
      <c r="D3" s="16">
        <v>-7300</v>
      </c>
      <c r="E3" s="16">
        <v>10300</v>
      </c>
      <c r="F3" s="16">
        <f>-1000-7300-2000</f>
        <v>-10300</v>
      </c>
      <c r="G3" s="30">
        <v>9800</v>
      </c>
      <c r="H3" s="16">
        <v>-9800</v>
      </c>
      <c r="I3" s="15">
        <v>8400</v>
      </c>
      <c r="J3" s="15">
        <v>-8400</v>
      </c>
      <c r="K3" s="15">
        <v>7550</v>
      </c>
      <c r="L3" s="15">
        <v>-7550</v>
      </c>
      <c r="M3" s="6"/>
      <c r="N3" s="32">
        <f>SUM(C3:M3)</f>
        <v>0</v>
      </c>
    </row>
    <row r="4" spans="1:14" ht="16.5" thickBot="1">
      <c r="A4" s="1" t="s">
        <v>2</v>
      </c>
      <c r="B4" s="36" t="s">
        <v>98</v>
      </c>
      <c r="C4" s="16">
        <v>7300</v>
      </c>
      <c r="D4" s="16">
        <v>-7300</v>
      </c>
      <c r="E4" s="16">
        <v>10300</v>
      </c>
      <c r="F4" s="16">
        <f>-8300-2000</f>
        <v>-10300</v>
      </c>
      <c r="G4" s="30">
        <v>9800</v>
      </c>
      <c r="H4" s="16">
        <v>-9800</v>
      </c>
      <c r="I4" s="15">
        <v>8400</v>
      </c>
      <c r="J4" s="16">
        <v>-8400</v>
      </c>
      <c r="K4" s="15">
        <v>7550</v>
      </c>
      <c r="L4" s="16">
        <v>-7550</v>
      </c>
      <c r="M4" s="7"/>
      <c r="N4" s="32">
        <f t="shared" ref="N4:N67" si="0">SUM(C4:M4)</f>
        <v>0</v>
      </c>
    </row>
    <row r="5" spans="1:14" ht="16.5" thickBot="1">
      <c r="A5" s="1" t="s">
        <v>3</v>
      </c>
      <c r="B5" s="36" t="s">
        <v>99</v>
      </c>
      <c r="C5" s="16">
        <v>7300</v>
      </c>
      <c r="D5" s="16">
        <v>-7300</v>
      </c>
      <c r="E5" s="16">
        <v>10300</v>
      </c>
      <c r="F5" s="16">
        <f>-1000-7000</f>
        <v>-8000</v>
      </c>
      <c r="G5" s="30">
        <v>9800</v>
      </c>
      <c r="H5" s="16">
        <v>-9800</v>
      </c>
      <c r="I5" s="15">
        <v>8400</v>
      </c>
      <c r="J5" s="16">
        <v>-8400</v>
      </c>
      <c r="K5" s="15">
        <v>7550</v>
      </c>
      <c r="L5" s="4"/>
      <c r="M5" s="7"/>
      <c r="N5" s="32">
        <f t="shared" si="0"/>
        <v>9850</v>
      </c>
    </row>
    <row r="6" spans="1:14" ht="16.5" thickBot="1">
      <c r="A6" s="12" t="s">
        <v>4</v>
      </c>
      <c r="B6" s="37" t="s">
        <v>100</v>
      </c>
      <c r="C6" s="16">
        <v>7300</v>
      </c>
      <c r="D6" s="17">
        <v>-7300</v>
      </c>
      <c r="E6" s="16">
        <v>10300</v>
      </c>
      <c r="F6" s="17">
        <v>-8300</v>
      </c>
      <c r="G6" s="30">
        <v>9800</v>
      </c>
      <c r="H6" s="17">
        <v>-9800</v>
      </c>
      <c r="I6" s="15">
        <v>8400</v>
      </c>
      <c r="J6" s="17"/>
      <c r="K6" s="15">
        <v>7550</v>
      </c>
      <c r="L6" s="17">
        <v>-7550</v>
      </c>
      <c r="M6" s="14"/>
      <c r="N6" s="32">
        <f t="shared" si="0"/>
        <v>10400</v>
      </c>
    </row>
    <row r="7" spans="1:14" ht="16.5" thickBot="1">
      <c r="A7" s="12" t="s">
        <v>5</v>
      </c>
      <c r="B7" s="37" t="s">
        <v>180</v>
      </c>
      <c r="C7" s="16">
        <v>7300</v>
      </c>
      <c r="D7" s="17">
        <v>-7300</v>
      </c>
      <c r="E7" s="16">
        <v>10300</v>
      </c>
      <c r="F7" s="17">
        <v>-8300</v>
      </c>
      <c r="G7" s="30">
        <v>9800</v>
      </c>
      <c r="H7" s="17">
        <f>-9800-2000</f>
        <v>-11800</v>
      </c>
      <c r="I7" s="15">
        <v>8400</v>
      </c>
      <c r="J7" s="17">
        <v>-8400</v>
      </c>
      <c r="K7" s="15">
        <v>7550</v>
      </c>
      <c r="L7" s="17">
        <v>-7550</v>
      </c>
      <c r="M7" s="14"/>
      <c r="N7" s="32">
        <f t="shared" si="0"/>
        <v>0</v>
      </c>
    </row>
    <row r="8" spans="1:14" ht="16.5" thickBot="1">
      <c r="A8" s="1" t="s">
        <v>6</v>
      </c>
      <c r="B8" s="36" t="s">
        <v>101</v>
      </c>
      <c r="C8" s="16">
        <v>7300</v>
      </c>
      <c r="D8" s="16">
        <v>-7300</v>
      </c>
      <c r="E8" s="16">
        <v>10300</v>
      </c>
      <c r="F8" s="16">
        <f>-8300-2000</f>
        <v>-10300</v>
      </c>
      <c r="G8" s="30">
        <v>9800</v>
      </c>
      <c r="H8" s="16">
        <f>-9300-500</f>
        <v>-9800</v>
      </c>
      <c r="I8" s="15">
        <v>8400</v>
      </c>
      <c r="J8" s="16">
        <v>-8300</v>
      </c>
      <c r="K8" s="15">
        <v>7550</v>
      </c>
      <c r="L8" s="16">
        <v>-6500</v>
      </c>
      <c r="M8" s="7"/>
      <c r="N8" s="32">
        <f t="shared" si="0"/>
        <v>1150</v>
      </c>
    </row>
    <row r="9" spans="1:14" ht="16.5" thickBot="1">
      <c r="A9" s="1" t="s">
        <v>7</v>
      </c>
      <c r="B9" s="36" t="s">
        <v>102</v>
      </c>
      <c r="C9" s="16">
        <v>7300</v>
      </c>
      <c r="D9" s="16"/>
      <c r="E9" s="16">
        <v>10300</v>
      </c>
      <c r="F9" s="16">
        <f>-1000-7300</f>
        <v>-8300</v>
      </c>
      <c r="G9" s="30">
        <v>9800</v>
      </c>
      <c r="H9" s="16">
        <v>-9800</v>
      </c>
      <c r="I9" s="15">
        <v>8400</v>
      </c>
      <c r="J9" s="16">
        <v>-8400</v>
      </c>
      <c r="K9" s="15">
        <v>7550</v>
      </c>
      <c r="L9" s="16">
        <v>-7500</v>
      </c>
      <c r="M9" s="7"/>
      <c r="N9" s="32">
        <f t="shared" si="0"/>
        <v>9350</v>
      </c>
    </row>
    <row r="10" spans="1:14" ht="16.5" thickBot="1">
      <c r="A10" s="1" t="s">
        <v>8</v>
      </c>
      <c r="B10" s="36" t="s">
        <v>103</v>
      </c>
      <c r="C10" s="16">
        <v>7300</v>
      </c>
      <c r="D10" s="16">
        <v>-7300</v>
      </c>
      <c r="E10" s="16">
        <v>10300</v>
      </c>
      <c r="F10" s="16">
        <v>-8300</v>
      </c>
      <c r="G10" s="30">
        <v>9800</v>
      </c>
      <c r="H10" s="16">
        <v>-11800</v>
      </c>
      <c r="I10" s="15">
        <v>8400</v>
      </c>
      <c r="J10" s="16">
        <v>-8400</v>
      </c>
      <c r="K10" s="15">
        <v>7550</v>
      </c>
      <c r="L10" s="4"/>
      <c r="M10" s="7"/>
      <c r="N10" s="32">
        <f t="shared" si="0"/>
        <v>7550</v>
      </c>
    </row>
    <row r="11" spans="1:14" ht="16.5" thickBot="1">
      <c r="A11" s="1" t="s">
        <v>9</v>
      </c>
      <c r="B11" s="36" t="s">
        <v>104</v>
      </c>
      <c r="C11" s="16">
        <v>7300</v>
      </c>
      <c r="D11" s="16">
        <v>-7300</v>
      </c>
      <c r="E11" s="16">
        <v>10300</v>
      </c>
      <c r="F11" s="16">
        <v>-8300</v>
      </c>
      <c r="G11" s="30">
        <v>9800</v>
      </c>
      <c r="H11" s="16">
        <f>-2000-9800</f>
        <v>-11800</v>
      </c>
      <c r="I11" s="15">
        <v>8400</v>
      </c>
      <c r="J11" s="16">
        <v>-8400</v>
      </c>
      <c r="K11" s="15">
        <v>7550</v>
      </c>
      <c r="L11" s="4"/>
      <c r="M11" s="7"/>
      <c r="N11" s="32">
        <f t="shared" si="0"/>
        <v>7550</v>
      </c>
    </row>
    <row r="12" spans="1:14" ht="16.5" thickBot="1">
      <c r="A12" s="12" t="s">
        <v>10</v>
      </c>
      <c r="B12" s="37" t="s">
        <v>105</v>
      </c>
      <c r="C12" s="16">
        <v>7300</v>
      </c>
      <c r="D12" s="17">
        <v>-7300</v>
      </c>
      <c r="E12" s="16">
        <v>10300</v>
      </c>
      <c r="F12" s="17">
        <f>-8300-2000</f>
        <v>-10300</v>
      </c>
      <c r="G12" s="30">
        <v>9800</v>
      </c>
      <c r="H12" s="17">
        <v>-9800</v>
      </c>
      <c r="I12" s="15">
        <v>8400</v>
      </c>
      <c r="J12" s="17">
        <v>-8400</v>
      </c>
      <c r="K12" s="15">
        <v>7550</v>
      </c>
      <c r="L12" s="17">
        <v>-7550</v>
      </c>
      <c r="M12" s="14"/>
      <c r="N12" s="32">
        <f t="shared" si="0"/>
        <v>0</v>
      </c>
    </row>
    <row r="13" spans="1:14" ht="16.5" thickBot="1">
      <c r="A13" s="12" t="s">
        <v>11</v>
      </c>
      <c r="B13" s="37" t="s">
        <v>106</v>
      </c>
      <c r="C13" s="16">
        <v>7300</v>
      </c>
      <c r="D13" s="17">
        <f>-3650-3650</f>
        <v>-7300</v>
      </c>
      <c r="E13" s="16">
        <v>10300</v>
      </c>
      <c r="F13" s="17">
        <v>-8300</v>
      </c>
      <c r="G13" s="30">
        <v>9800</v>
      </c>
      <c r="H13" s="17">
        <v>-11800</v>
      </c>
      <c r="I13" s="15">
        <v>8400</v>
      </c>
      <c r="J13" s="17">
        <v>-8400</v>
      </c>
      <c r="K13" s="15">
        <v>7550</v>
      </c>
      <c r="L13" s="17">
        <v>-7550</v>
      </c>
      <c r="M13" s="14"/>
      <c r="N13" s="32">
        <f t="shared" si="0"/>
        <v>0</v>
      </c>
    </row>
    <row r="14" spans="1:14" ht="16.5" thickBot="1">
      <c r="A14" s="1" t="s">
        <v>12</v>
      </c>
      <c r="B14" s="36" t="s">
        <v>107</v>
      </c>
      <c r="C14" s="16">
        <v>7300</v>
      </c>
      <c r="D14" s="16">
        <v>-7300</v>
      </c>
      <c r="E14" s="16">
        <v>10300</v>
      </c>
      <c r="F14" s="16">
        <f>-1000-7300-2000</f>
        <v>-10300</v>
      </c>
      <c r="G14" s="30">
        <v>9800</v>
      </c>
      <c r="H14" s="16">
        <v>-9800</v>
      </c>
      <c r="I14" s="15">
        <v>8400</v>
      </c>
      <c r="J14" s="16">
        <v>-8400</v>
      </c>
      <c r="K14" s="15">
        <v>7550</v>
      </c>
      <c r="L14" s="16">
        <v>-7550</v>
      </c>
      <c r="M14" s="7"/>
      <c r="N14" s="32">
        <f t="shared" si="0"/>
        <v>0</v>
      </c>
    </row>
    <row r="15" spans="1:14" ht="16.5" thickBot="1">
      <c r="A15" s="1" t="s">
        <v>13</v>
      </c>
      <c r="B15" s="36" t="s">
        <v>108</v>
      </c>
      <c r="C15" s="16">
        <v>7300</v>
      </c>
      <c r="D15" s="16">
        <v>-7300</v>
      </c>
      <c r="E15" s="16">
        <v>10300</v>
      </c>
      <c r="F15" s="16">
        <f>-7300-1000-2000</f>
        <v>-10300</v>
      </c>
      <c r="G15" s="30">
        <v>9800</v>
      </c>
      <c r="H15" s="18">
        <v>-9800</v>
      </c>
      <c r="I15" s="15">
        <v>8400</v>
      </c>
      <c r="J15" s="16">
        <v>-8400</v>
      </c>
      <c r="K15" s="15">
        <v>7550</v>
      </c>
      <c r="L15" s="16">
        <f>-7150-400</f>
        <v>-7550</v>
      </c>
      <c r="M15" s="7"/>
      <c r="N15" s="32">
        <f t="shared" si="0"/>
        <v>0</v>
      </c>
    </row>
    <row r="16" spans="1:14" ht="16.5" thickBot="1">
      <c r="A16" s="1" t="s">
        <v>14</v>
      </c>
      <c r="B16" s="36" t="s">
        <v>109</v>
      </c>
      <c r="C16" s="16">
        <v>7300</v>
      </c>
      <c r="D16" s="16">
        <v>-7300</v>
      </c>
      <c r="E16" s="16">
        <v>10300</v>
      </c>
      <c r="F16" s="16">
        <f>-5600-400-3000-2300</f>
        <v>-11300</v>
      </c>
      <c r="G16" s="30">
        <v>9800</v>
      </c>
      <c r="H16" s="16">
        <v>-9800</v>
      </c>
      <c r="I16" s="15">
        <v>8400</v>
      </c>
      <c r="J16" s="16">
        <v>-8400</v>
      </c>
      <c r="K16" s="15">
        <v>7550</v>
      </c>
      <c r="L16" s="16">
        <v>-7550</v>
      </c>
      <c r="M16" s="16"/>
      <c r="N16" s="32">
        <f t="shared" si="0"/>
        <v>-1000</v>
      </c>
    </row>
    <row r="17" spans="1:14" ht="16.5" thickBot="1">
      <c r="A17" s="12" t="s">
        <v>15</v>
      </c>
      <c r="B17" s="37" t="s">
        <v>110</v>
      </c>
      <c r="C17" s="16">
        <v>7300</v>
      </c>
      <c r="D17" s="17">
        <v>-7300</v>
      </c>
      <c r="E17" s="16">
        <v>10300</v>
      </c>
      <c r="F17" s="17">
        <f>-7300-1000</f>
        <v>-8300</v>
      </c>
      <c r="G17" s="30">
        <v>9800</v>
      </c>
      <c r="H17" s="17">
        <v>-9800</v>
      </c>
      <c r="I17" s="15">
        <v>8400</v>
      </c>
      <c r="J17" s="17">
        <v>-8400</v>
      </c>
      <c r="K17" s="15">
        <v>7550</v>
      </c>
      <c r="L17" s="13"/>
      <c r="M17" s="14"/>
      <c r="N17" s="32">
        <f t="shared" si="0"/>
        <v>9550</v>
      </c>
    </row>
    <row r="18" spans="1:14" ht="16.5" thickBot="1">
      <c r="A18" s="1" t="s">
        <v>16</v>
      </c>
      <c r="B18" s="36" t="s">
        <v>111</v>
      </c>
      <c r="C18" s="16">
        <v>7300</v>
      </c>
      <c r="D18" s="16">
        <v>-7300</v>
      </c>
      <c r="E18" s="16">
        <v>10300</v>
      </c>
      <c r="F18" s="16">
        <v>-22000</v>
      </c>
      <c r="G18" s="30">
        <v>9800</v>
      </c>
      <c r="H18" s="16">
        <v>-15000</v>
      </c>
      <c r="I18" s="15">
        <v>8400</v>
      </c>
      <c r="J18" s="16"/>
      <c r="K18" s="15">
        <v>7550</v>
      </c>
      <c r="L18" s="4"/>
      <c r="M18" s="7"/>
      <c r="N18" s="32">
        <f t="shared" si="0"/>
        <v>-950</v>
      </c>
    </row>
    <row r="19" spans="1:14" ht="16.5" thickBot="1">
      <c r="A19" s="1" t="s">
        <v>17</v>
      </c>
      <c r="B19" s="36" t="s">
        <v>112</v>
      </c>
      <c r="C19" s="16">
        <v>7300</v>
      </c>
      <c r="D19" s="16">
        <v>-7300</v>
      </c>
      <c r="E19" s="16">
        <v>10300</v>
      </c>
      <c r="F19" s="16">
        <f>-1000-6000</f>
        <v>-7000</v>
      </c>
      <c r="G19" s="30">
        <v>9800</v>
      </c>
      <c r="H19" s="16">
        <f>-3000-2000-1000</f>
        <v>-6000</v>
      </c>
      <c r="I19" s="15">
        <v>8400</v>
      </c>
      <c r="J19" s="16">
        <f>-12200-5000</f>
        <v>-17200</v>
      </c>
      <c r="K19" s="15">
        <v>7550</v>
      </c>
      <c r="L19" s="4"/>
      <c r="M19" s="7"/>
      <c r="N19" s="32">
        <f t="shared" si="0"/>
        <v>5850</v>
      </c>
    </row>
    <row r="20" spans="1:14" ht="16.5" thickBot="1">
      <c r="A20" s="1" t="s">
        <v>18</v>
      </c>
      <c r="B20" s="36" t="s">
        <v>113</v>
      </c>
      <c r="C20" s="16">
        <v>7300</v>
      </c>
      <c r="D20" s="16">
        <v>-7300</v>
      </c>
      <c r="E20" s="16">
        <v>10300</v>
      </c>
      <c r="F20" s="16">
        <v>-8300</v>
      </c>
      <c r="G20" s="30">
        <v>9800</v>
      </c>
      <c r="H20" s="16">
        <v>-9800</v>
      </c>
      <c r="I20" s="15">
        <v>8400</v>
      </c>
      <c r="J20" s="16">
        <v>-10400</v>
      </c>
      <c r="K20" s="15">
        <v>7550</v>
      </c>
      <c r="L20" s="16">
        <v>-7550</v>
      </c>
      <c r="M20" s="7"/>
      <c r="N20" s="32">
        <f t="shared" si="0"/>
        <v>0</v>
      </c>
    </row>
    <row r="21" spans="1:14" ht="16.5" thickBot="1">
      <c r="A21" s="1" t="s">
        <v>19</v>
      </c>
      <c r="B21" s="36" t="s">
        <v>114</v>
      </c>
      <c r="C21" s="16">
        <v>7300</v>
      </c>
      <c r="D21" s="16">
        <v>-7300</v>
      </c>
      <c r="E21" s="16">
        <v>10300</v>
      </c>
      <c r="F21" s="16">
        <f>-8300-2000</f>
        <v>-10300</v>
      </c>
      <c r="G21" s="30">
        <v>9800</v>
      </c>
      <c r="H21" s="16">
        <v>-9800</v>
      </c>
      <c r="I21" s="15">
        <v>8400</v>
      </c>
      <c r="J21" s="16">
        <v>-8400</v>
      </c>
      <c r="K21" s="15">
        <v>7550</v>
      </c>
      <c r="L21" s="16">
        <v>-7550</v>
      </c>
      <c r="M21" s="7"/>
      <c r="N21" s="32">
        <f t="shared" si="0"/>
        <v>0</v>
      </c>
    </row>
    <row r="22" spans="1:14" ht="16.5" thickBot="1">
      <c r="A22" s="12" t="s">
        <v>20</v>
      </c>
      <c r="B22" s="37" t="s">
        <v>181</v>
      </c>
      <c r="C22" s="16">
        <v>7300</v>
      </c>
      <c r="D22" s="17">
        <v>-7300</v>
      </c>
      <c r="E22" s="16">
        <v>10300</v>
      </c>
      <c r="F22" s="17">
        <f>-8300-2000</f>
        <v>-10300</v>
      </c>
      <c r="G22" s="30">
        <v>9800</v>
      </c>
      <c r="H22" s="17">
        <v>-9800</v>
      </c>
      <c r="I22" s="15">
        <v>8400</v>
      </c>
      <c r="J22" s="17">
        <v>-8400</v>
      </c>
      <c r="K22" s="15">
        <v>7550</v>
      </c>
      <c r="L22" s="17">
        <v>-7550</v>
      </c>
      <c r="M22" s="14"/>
      <c r="N22" s="32">
        <f t="shared" si="0"/>
        <v>0</v>
      </c>
    </row>
    <row r="23" spans="1:14" ht="16.5" thickBot="1">
      <c r="A23" s="1" t="s">
        <v>21</v>
      </c>
      <c r="B23" s="36" t="s">
        <v>115</v>
      </c>
      <c r="C23" s="16">
        <v>7300</v>
      </c>
      <c r="D23" s="16">
        <v>-7300</v>
      </c>
      <c r="E23" s="16">
        <v>10300</v>
      </c>
      <c r="F23" s="16">
        <f>-1000-7300-2000</f>
        <v>-10300</v>
      </c>
      <c r="G23" s="30">
        <v>9800</v>
      </c>
      <c r="H23" s="16">
        <v>-9800</v>
      </c>
      <c r="I23" s="15">
        <v>8400</v>
      </c>
      <c r="J23" s="16">
        <v>-8400</v>
      </c>
      <c r="K23" s="15">
        <v>7550</v>
      </c>
      <c r="L23" s="16">
        <v>-7150</v>
      </c>
      <c r="M23" s="7"/>
      <c r="N23" s="32">
        <f t="shared" si="0"/>
        <v>400</v>
      </c>
    </row>
    <row r="24" spans="1:14" ht="16.5" thickBot="1">
      <c r="A24" s="1" t="s">
        <v>22</v>
      </c>
      <c r="B24" s="36" t="s">
        <v>116</v>
      </c>
      <c r="C24" s="16">
        <v>7300</v>
      </c>
      <c r="D24" s="16">
        <v>-7300</v>
      </c>
      <c r="E24" s="16">
        <v>10300</v>
      </c>
      <c r="F24" s="16">
        <f>-7300-1000-2000</f>
        <v>-10300</v>
      </c>
      <c r="G24" s="30">
        <v>9800</v>
      </c>
      <c r="H24" s="16">
        <v>-9800</v>
      </c>
      <c r="I24" s="15">
        <v>8400</v>
      </c>
      <c r="J24" s="16">
        <v>-8400</v>
      </c>
      <c r="K24" s="15">
        <v>7550</v>
      </c>
      <c r="L24" s="16">
        <v>-7550</v>
      </c>
      <c r="M24" s="7"/>
      <c r="N24" s="32">
        <f t="shared" si="0"/>
        <v>0</v>
      </c>
    </row>
    <row r="25" spans="1:14" ht="16.5" thickBot="1">
      <c r="A25" s="1" t="s">
        <v>23</v>
      </c>
      <c r="B25" s="36" t="s">
        <v>117</v>
      </c>
      <c r="C25" s="16">
        <v>7300</v>
      </c>
      <c r="D25" s="16">
        <v>-7300</v>
      </c>
      <c r="E25" s="16">
        <v>10300</v>
      </c>
      <c r="F25" s="16">
        <v>-10300</v>
      </c>
      <c r="G25" s="30">
        <v>9800</v>
      </c>
      <c r="H25" s="16">
        <f>-9800-10300</f>
        <v>-20100</v>
      </c>
      <c r="I25" s="15">
        <v>8400</v>
      </c>
      <c r="J25" s="16"/>
      <c r="K25" s="15">
        <v>7550</v>
      </c>
      <c r="L25" s="16">
        <v>-6150</v>
      </c>
      <c r="M25" s="7"/>
      <c r="N25" s="32">
        <f t="shared" si="0"/>
        <v>-500</v>
      </c>
    </row>
    <row r="26" spans="1:14" ht="16.5" thickBot="1">
      <c r="A26" s="1" t="s">
        <v>24</v>
      </c>
      <c r="B26" s="36" t="s">
        <v>118</v>
      </c>
      <c r="C26" s="16">
        <v>7300</v>
      </c>
      <c r="D26" s="16">
        <f>-3000-4300</f>
        <v>-7300</v>
      </c>
      <c r="E26" s="16">
        <v>10300</v>
      </c>
      <c r="F26" s="16">
        <v>-8300</v>
      </c>
      <c r="G26" s="30">
        <v>9800</v>
      </c>
      <c r="H26" s="16">
        <v>-14000</v>
      </c>
      <c r="I26" s="15">
        <v>8400</v>
      </c>
      <c r="J26" s="16">
        <v>-8400</v>
      </c>
      <c r="K26" s="15">
        <v>7550</v>
      </c>
      <c r="L26" s="4"/>
      <c r="M26" s="7"/>
      <c r="N26" s="32">
        <f t="shared" si="0"/>
        <v>5350</v>
      </c>
    </row>
    <row r="27" spans="1:14" ht="16.5" thickBot="1">
      <c r="A27" s="1" t="s">
        <v>25</v>
      </c>
      <c r="B27" s="36" t="s">
        <v>119</v>
      </c>
      <c r="C27" s="16">
        <v>7300</v>
      </c>
      <c r="D27" s="16">
        <v>-7300</v>
      </c>
      <c r="E27" s="16">
        <v>10300</v>
      </c>
      <c r="F27" s="16">
        <f>-1000-7300-2000</f>
        <v>-10300</v>
      </c>
      <c r="G27" s="30">
        <v>9800</v>
      </c>
      <c r="H27" s="16">
        <v>-9800</v>
      </c>
      <c r="I27" s="15">
        <v>8400</v>
      </c>
      <c r="J27" s="16">
        <v>-8400</v>
      </c>
      <c r="K27" s="15">
        <v>7550</v>
      </c>
      <c r="L27" s="16">
        <v>-7550</v>
      </c>
      <c r="M27" s="7"/>
      <c r="N27" s="32">
        <f t="shared" si="0"/>
        <v>0</v>
      </c>
    </row>
    <row r="28" spans="1:14" ht="16.5" thickBot="1">
      <c r="A28" s="1" t="s">
        <v>26</v>
      </c>
      <c r="B28" s="36" t="s">
        <v>120</v>
      </c>
      <c r="C28" s="16">
        <v>7300</v>
      </c>
      <c r="D28" s="16">
        <v>-7300</v>
      </c>
      <c r="E28" s="16">
        <v>10300</v>
      </c>
      <c r="F28" s="16">
        <f>-1000-7300-2000</f>
        <v>-10300</v>
      </c>
      <c r="G28" s="30">
        <v>9800</v>
      </c>
      <c r="H28" s="16">
        <f>-7300-2500</f>
        <v>-9800</v>
      </c>
      <c r="I28" s="15">
        <v>8400</v>
      </c>
      <c r="J28" s="16">
        <v>-8400</v>
      </c>
      <c r="K28" s="15">
        <v>7550</v>
      </c>
      <c r="L28" s="16">
        <v>-7550</v>
      </c>
      <c r="M28" s="7"/>
      <c r="N28" s="32">
        <f t="shared" si="0"/>
        <v>0</v>
      </c>
    </row>
    <row r="29" spans="1:14" ht="16.5" thickBot="1">
      <c r="A29" s="1" t="s">
        <v>27</v>
      </c>
      <c r="B29" s="36" t="s">
        <v>121</v>
      </c>
      <c r="C29" s="16">
        <v>7300</v>
      </c>
      <c r="D29" s="16">
        <v>-7300</v>
      </c>
      <c r="E29" s="16">
        <v>10300</v>
      </c>
      <c r="F29" s="16">
        <f>-8300-2000</f>
        <v>-10300</v>
      </c>
      <c r="G29" s="30">
        <v>9800</v>
      </c>
      <c r="H29" s="16">
        <v>-9800</v>
      </c>
      <c r="I29" s="15">
        <v>8400</v>
      </c>
      <c r="J29" s="16">
        <v>-8400</v>
      </c>
      <c r="K29" s="15">
        <v>7550</v>
      </c>
      <c r="L29" s="16">
        <v>-7550</v>
      </c>
      <c r="M29" s="7"/>
      <c r="N29" s="32">
        <f t="shared" si="0"/>
        <v>0</v>
      </c>
    </row>
    <row r="30" spans="1:14" ht="16.5" thickBot="1">
      <c r="A30" s="1" t="s">
        <v>28</v>
      </c>
      <c r="B30" s="36" t="s">
        <v>122</v>
      </c>
      <c r="C30" s="16">
        <v>7300</v>
      </c>
      <c r="D30" s="16">
        <v>-7300</v>
      </c>
      <c r="E30" s="16">
        <v>10300</v>
      </c>
      <c r="F30" s="16">
        <v>-10300</v>
      </c>
      <c r="G30" s="30">
        <v>9800</v>
      </c>
      <c r="H30" s="16">
        <v>-9800</v>
      </c>
      <c r="I30" s="15">
        <v>8400</v>
      </c>
      <c r="J30" s="16">
        <f>-8400-2000</f>
        <v>-10400</v>
      </c>
      <c r="K30" s="15">
        <v>7550</v>
      </c>
      <c r="L30" s="4"/>
      <c r="M30" s="7"/>
      <c r="N30" s="32">
        <f t="shared" si="0"/>
        <v>5550</v>
      </c>
    </row>
    <row r="31" spans="1:14" ht="16.5" thickBot="1">
      <c r="A31" s="1" t="s">
        <v>29</v>
      </c>
      <c r="B31" s="36" t="s">
        <v>123</v>
      </c>
      <c r="C31" s="16">
        <v>7300</v>
      </c>
      <c r="D31" s="16">
        <v>-7300</v>
      </c>
      <c r="E31" s="16">
        <v>10300</v>
      </c>
      <c r="F31" s="16">
        <v>-8300</v>
      </c>
      <c r="G31" s="30">
        <v>9800</v>
      </c>
      <c r="H31" s="16">
        <f>-2000-9800</f>
        <v>-11800</v>
      </c>
      <c r="I31" s="15">
        <v>8400</v>
      </c>
      <c r="J31" s="16">
        <v>-8400</v>
      </c>
      <c r="K31" s="15">
        <v>7550</v>
      </c>
      <c r="L31" s="16">
        <f>-7150-400</f>
        <v>-7550</v>
      </c>
      <c r="M31" s="7"/>
      <c r="N31" s="32">
        <f t="shared" si="0"/>
        <v>0</v>
      </c>
    </row>
    <row r="32" spans="1:14" ht="16.5" thickBot="1">
      <c r="A32" s="12" t="s">
        <v>30</v>
      </c>
      <c r="B32" s="37" t="s">
        <v>124</v>
      </c>
      <c r="C32" s="16">
        <v>7300</v>
      </c>
      <c r="D32" s="17">
        <v>-7300</v>
      </c>
      <c r="E32" s="16">
        <v>10300</v>
      </c>
      <c r="F32" s="17">
        <f>-8300-2000</f>
        <v>-10300</v>
      </c>
      <c r="G32" s="30">
        <v>9800</v>
      </c>
      <c r="H32" s="17">
        <v>-9800</v>
      </c>
      <c r="I32" s="15">
        <v>8400</v>
      </c>
      <c r="J32" s="17">
        <f>-2400-3000-3000</f>
        <v>-8400</v>
      </c>
      <c r="K32" s="15">
        <v>7550</v>
      </c>
      <c r="L32" s="17">
        <v>-7550</v>
      </c>
      <c r="M32" s="14"/>
      <c r="N32" s="32">
        <f t="shared" si="0"/>
        <v>0</v>
      </c>
    </row>
    <row r="33" spans="1:14" ht="16.5" thickBot="1">
      <c r="A33" s="1" t="s">
        <v>31</v>
      </c>
      <c r="B33" s="36" t="s">
        <v>125</v>
      </c>
      <c r="C33" s="16">
        <v>7300</v>
      </c>
      <c r="D33" s="16">
        <v>-7300</v>
      </c>
      <c r="E33" s="16">
        <v>10300</v>
      </c>
      <c r="F33" s="16">
        <v>-7300</v>
      </c>
      <c r="G33" s="30">
        <v>9800</v>
      </c>
      <c r="H33" s="16">
        <v>-7000</v>
      </c>
      <c r="I33" s="15">
        <v>8400</v>
      </c>
      <c r="J33" s="16">
        <f>-2000-7800</f>
        <v>-9800</v>
      </c>
      <c r="K33" s="15">
        <v>7550</v>
      </c>
      <c r="L33" s="16">
        <v>-7550</v>
      </c>
      <c r="M33" s="7"/>
      <c r="N33" s="32">
        <f t="shared" si="0"/>
        <v>4400</v>
      </c>
    </row>
    <row r="34" spans="1:14" ht="16.5" thickBot="1">
      <c r="A34" s="1" t="s">
        <v>32</v>
      </c>
      <c r="B34" s="36" t="s">
        <v>126</v>
      </c>
      <c r="C34" s="16">
        <v>7300</v>
      </c>
      <c r="D34" s="16">
        <v>-7300</v>
      </c>
      <c r="E34" s="16">
        <v>10300</v>
      </c>
      <c r="F34" s="16">
        <v>-8300</v>
      </c>
      <c r="G34" s="30">
        <v>9800</v>
      </c>
      <c r="H34" s="16">
        <f>-2000-9800</f>
        <v>-11800</v>
      </c>
      <c r="I34" s="15">
        <v>8400</v>
      </c>
      <c r="J34" s="16">
        <v>-8400</v>
      </c>
      <c r="K34" s="15">
        <v>7550</v>
      </c>
      <c r="L34" s="16">
        <v>-7550</v>
      </c>
      <c r="M34" s="7"/>
      <c r="N34" s="32">
        <f t="shared" si="0"/>
        <v>0</v>
      </c>
    </row>
    <row r="35" spans="1:14" ht="16.5" thickBot="1">
      <c r="A35" s="12" t="s">
        <v>33</v>
      </c>
      <c r="B35" s="37" t="s">
        <v>127</v>
      </c>
      <c r="C35" s="16">
        <v>7300</v>
      </c>
      <c r="D35" s="17">
        <v>-7300</v>
      </c>
      <c r="E35" s="16">
        <v>10300</v>
      </c>
      <c r="F35" s="17">
        <f>-8300-2000</f>
        <v>-10300</v>
      </c>
      <c r="G35" s="30">
        <v>9800</v>
      </c>
      <c r="H35" s="17">
        <v>-9800</v>
      </c>
      <c r="I35" s="15">
        <v>8400</v>
      </c>
      <c r="J35" s="17">
        <v>-8400</v>
      </c>
      <c r="K35" s="15">
        <v>7550</v>
      </c>
      <c r="L35" s="17">
        <v>-7550</v>
      </c>
      <c r="M35" s="14"/>
      <c r="N35" s="32">
        <f t="shared" si="0"/>
        <v>0</v>
      </c>
    </row>
    <row r="36" spans="1:14" ht="16.5" thickBot="1">
      <c r="A36" s="1" t="s">
        <v>34</v>
      </c>
      <c r="B36" s="36" t="s">
        <v>128</v>
      </c>
      <c r="C36" s="16">
        <v>7300</v>
      </c>
      <c r="D36" s="16">
        <v>-7300</v>
      </c>
      <c r="E36" s="16">
        <v>10300</v>
      </c>
      <c r="F36" s="16">
        <f>-8300-2000</f>
        <v>-10300</v>
      </c>
      <c r="G36" s="30">
        <v>9800</v>
      </c>
      <c r="H36" s="16">
        <v>-9800</v>
      </c>
      <c r="I36" s="15">
        <v>8400</v>
      </c>
      <c r="J36" s="16">
        <v>-8400</v>
      </c>
      <c r="K36" s="15">
        <v>7550</v>
      </c>
      <c r="L36" s="16">
        <v>-7550</v>
      </c>
      <c r="M36" s="7"/>
      <c r="N36" s="32">
        <f t="shared" si="0"/>
        <v>0</v>
      </c>
    </row>
    <row r="37" spans="1:14" ht="16.5" thickBot="1">
      <c r="A37" s="1" t="s">
        <v>86</v>
      </c>
      <c r="B37" s="39" t="s">
        <v>169</v>
      </c>
      <c r="C37" s="16">
        <v>7300</v>
      </c>
      <c r="D37" s="16">
        <v>-7300</v>
      </c>
      <c r="E37" s="16">
        <v>10300</v>
      </c>
      <c r="F37" s="16">
        <v>-7800</v>
      </c>
      <c r="G37" s="30">
        <v>9800</v>
      </c>
      <c r="H37" s="16">
        <f>-9800-2000</f>
        <v>-11800</v>
      </c>
      <c r="I37" s="15">
        <v>8400</v>
      </c>
      <c r="J37" s="16">
        <v>-8400</v>
      </c>
      <c r="K37" s="15">
        <v>7550</v>
      </c>
      <c r="L37" s="16">
        <v>-8550</v>
      </c>
      <c r="M37" s="7"/>
      <c r="N37" s="32">
        <f t="shared" si="0"/>
        <v>-500</v>
      </c>
    </row>
    <row r="38" spans="1:14" ht="16.5" thickBot="1">
      <c r="A38" s="1" t="s">
        <v>87</v>
      </c>
      <c r="B38" s="39" t="s">
        <v>170</v>
      </c>
      <c r="C38" s="16">
        <v>7300</v>
      </c>
      <c r="D38" s="16">
        <v>-7300</v>
      </c>
      <c r="E38" s="16">
        <v>10300</v>
      </c>
      <c r="F38" s="16">
        <f>-7800-2000</f>
        <v>-9800</v>
      </c>
      <c r="G38" s="30">
        <v>9800</v>
      </c>
      <c r="H38" s="16">
        <v>-9800</v>
      </c>
      <c r="I38" s="15">
        <v>8400</v>
      </c>
      <c r="J38" s="16">
        <v>-8000</v>
      </c>
      <c r="K38" s="15">
        <v>7550</v>
      </c>
      <c r="L38" s="16">
        <v>-8050</v>
      </c>
      <c r="M38" s="7"/>
      <c r="N38" s="32">
        <f t="shared" si="0"/>
        <v>400</v>
      </c>
    </row>
    <row r="39" spans="1:14" ht="16.5" thickBot="1">
      <c r="A39" s="1" t="s">
        <v>35</v>
      </c>
      <c r="B39" s="39" t="s">
        <v>171</v>
      </c>
      <c r="C39" s="16">
        <v>7300</v>
      </c>
      <c r="D39" s="16">
        <v>-7300</v>
      </c>
      <c r="E39" s="16">
        <v>10300</v>
      </c>
      <c r="F39" s="16">
        <f>-1000-7300</f>
        <v>-8300</v>
      </c>
      <c r="G39" s="30">
        <v>9800</v>
      </c>
      <c r="H39" s="16">
        <v>-9800</v>
      </c>
      <c r="I39" s="15">
        <v>8400</v>
      </c>
      <c r="J39" s="16">
        <f>-10279.55-121</f>
        <v>-10400.549999999999</v>
      </c>
      <c r="K39" s="15">
        <v>7550</v>
      </c>
      <c r="L39" s="16">
        <v>-7550</v>
      </c>
      <c r="M39" s="7"/>
      <c r="N39" s="32">
        <f t="shared" si="0"/>
        <v>-0.5499999999992724</v>
      </c>
    </row>
    <row r="40" spans="1:14" ht="16.5" thickBot="1">
      <c r="A40" s="1" t="s">
        <v>36</v>
      </c>
      <c r="B40" s="39" t="s">
        <v>172</v>
      </c>
      <c r="C40" s="16">
        <v>7300</v>
      </c>
      <c r="D40" s="16">
        <v>-7300</v>
      </c>
      <c r="E40" s="16">
        <v>10300</v>
      </c>
      <c r="F40" s="16">
        <f>-3000-7300</f>
        <v>-10300</v>
      </c>
      <c r="G40" s="30">
        <v>9800</v>
      </c>
      <c r="H40" s="16">
        <f>-2500-7300</f>
        <v>-9800</v>
      </c>
      <c r="I40" s="15">
        <v>8400</v>
      </c>
      <c r="J40" s="16">
        <f>-2000-8400</f>
        <v>-10400</v>
      </c>
      <c r="K40" s="15">
        <v>7550</v>
      </c>
      <c r="L40" s="16">
        <v>-15100</v>
      </c>
      <c r="M40" s="7"/>
      <c r="N40" s="32">
        <f t="shared" si="0"/>
        <v>-9550</v>
      </c>
    </row>
    <row r="41" spans="1:14" ht="16.5" thickBot="1">
      <c r="A41" s="1" t="s">
        <v>88</v>
      </c>
      <c r="B41" s="39" t="s">
        <v>172</v>
      </c>
      <c r="C41" s="16">
        <v>7300</v>
      </c>
      <c r="D41" s="16">
        <v>-7300</v>
      </c>
      <c r="E41" s="16">
        <v>10300</v>
      </c>
      <c r="F41" s="16">
        <f>-3000-7300</f>
        <v>-10300</v>
      </c>
      <c r="G41" s="30">
        <v>9800</v>
      </c>
      <c r="H41" s="16"/>
      <c r="I41" s="15">
        <v>8400</v>
      </c>
      <c r="J41" s="16"/>
      <c r="K41" s="15">
        <v>7550</v>
      </c>
      <c r="L41" s="4"/>
      <c r="M41" s="7"/>
      <c r="N41" s="32">
        <f t="shared" si="0"/>
        <v>25750</v>
      </c>
    </row>
    <row r="42" spans="1:14" ht="16.5" thickBot="1">
      <c r="A42" s="1" t="s">
        <v>37</v>
      </c>
      <c r="B42" s="36" t="s">
        <v>129</v>
      </c>
      <c r="C42" s="16">
        <v>7300</v>
      </c>
      <c r="D42" s="16">
        <v>-7300</v>
      </c>
      <c r="E42" s="16">
        <v>10300</v>
      </c>
      <c r="F42" s="16">
        <f>-8300-2000</f>
        <v>-10300</v>
      </c>
      <c r="G42" s="30">
        <v>9800</v>
      </c>
      <c r="H42" s="16">
        <v>-9800</v>
      </c>
      <c r="I42" s="15">
        <v>8400</v>
      </c>
      <c r="J42" s="16">
        <f>-7700-700</f>
        <v>-8400</v>
      </c>
      <c r="K42" s="15">
        <v>7550</v>
      </c>
      <c r="L42" s="16">
        <v>-7550</v>
      </c>
      <c r="M42" s="7"/>
      <c r="N42" s="32">
        <f t="shared" si="0"/>
        <v>0</v>
      </c>
    </row>
    <row r="43" spans="1:14" ht="16.5" thickBot="1">
      <c r="A43" s="1" t="s">
        <v>38</v>
      </c>
      <c r="B43" s="36" t="s">
        <v>130</v>
      </c>
      <c r="C43" s="16">
        <v>7300</v>
      </c>
      <c r="D43" s="16">
        <v>-7300</v>
      </c>
      <c r="E43" s="16">
        <v>10300</v>
      </c>
      <c r="F43" s="16">
        <v>-8300</v>
      </c>
      <c r="G43" s="30">
        <v>9800</v>
      </c>
      <c r="H43" s="16">
        <v>-9800</v>
      </c>
      <c r="I43" s="15">
        <v>8400</v>
      </c>
      <c r="J43" s="16">
        <f>-8300-2100</f>
        <v>-10400</v>
      </c>
      <c r="K43" s="15">
        <v>7550</v>
      </c>
      <c r="L43" s="4"/>
      <c r="M43" s="7"/>
      <c r="N43" s="32">
        <f t="shared" si="0"/>
        <v>7550</v>
      </c>
    </row>
    <row r="44" spans="1:14" ht="16.5" thickBot="1">
      <c r="A44" s="1" t="s">
        <v>39</v>
      </c>
      <c r="B44" s="36" t="s">
        <v>131</v>
      </c>
      <c r="C44" s="16">
        <v>7300</v>
      </c>
      <c r="D44" s="16"/>
      <c r="E44" s="16">
        <v>10300</v>
      </c>
      <c r="F44" s="16"/>
      <c r="G44" s="30">
        <v>9800</v>
      </c>
      <c r="H44" s="16"/>
      <c r="I44" s="15">
        <v>8400</v>
      </c>
      <c r="J44" s="16"/>
      <c r="K44" s="15">
        <v>7550</v>
      </c>
      <c r="L44" s="4"/>
      <c r="M44" s="7"/>
      <c r="N44" s="32">
        <f t="shared" si="0"/>
        <v>43350</v>
      </c>
    </row>
    <row r="45" spans="1:14" ht="16.5" thickBot="1">
      <c r="A45" s="1" t="s">
        <v>40</v>
      </c>
      <c r="B45" s="36" t="s">
        <v>132</v>
      </c>
      <c r="C45" s="16">
        <v>7300</v>
      </c>
      <c r="D45" s="16">
        <v>-7300</v>
      </c>
      <c r="E45" s="16">
        <v>10300</v>
      </c>
      <c r="F45" s="16">
        <f>-7300-1000</f>
        <v>-8300</v>
      </c>
      <c r="G45" s="30">
        <v>9800</v>
      </c>
      <c r="H45" s="16">
        <v>-9800</v>
      </c>
      <c r="I45" s="15">
        <v>8400</v>
      </c>
      <c r="J45" s="16">
        <v>-8400</v>
      </c>
      <c r="K45" s="15">
        <v>7550</v>
      </c>
      <c r="L45" s="16">
        <f>-1000-3000-3500</f>
        <v>-7500</v>
      </c>
      <c r="M45" s="7"/>
      <c r="N45" s="32">
        <f t="shared" si="0"/>
        <v>2050</v>
      </c>
    </row>
    <row r="46" spans="1:14" ht="16.5" thickBot="1">
      <c r="A46" s="1" t="s">
        <v>41</v>
      </c>
      <c r="B46" s="36" t="s">
        <v>133</v>
      </c>
      <c r="C46" s="16">
        <v>7300</v>
      </c>
      <c r="D46" s="16">
        <v>-7300</v>
      </c>
      <c r="E46" s="16">
        <v>10300</v>
      </c>
      <c r="F46" s="16">
        <v>-8300</v>
      </c>
      <c r="G46" s="30">
        <v>9800</v>
      </c>
      <c r="H46" s="16">
        <f>-9800-2000</f>
        <v>-11800</v>
      </c>
      <c r="I46" s="15">
        <v>8400</v>
      </c>
      <c r="J46" s="16">
        <v>-8400</v>
      </c>
      <c r="K46" s="15">
        <v>7550</v>
      </c>
      <c r="L46" s="16">
        <v>-7550</v>
      </c>
      <c r="M46" s="7"/>
      <c r="N46" s="32">
        <f t="shared" si="0"/>
        <v>0</v>
      </c>
    </row>
    <row r="47" spans="1:14" ht="16.5" thickBot="1">
      <c r="A47" s="1" t="s">
        <v>42</v>
      </c>
      <c r="B47" s="36" t="s">
        <v>134</v>
      </c>
      <c r="C47" s="16">
        <v>7300</v>
      </c>
      <c r="D47" s="16">
        <v>-7300</v>
      </c>
      <c r="E47" s="16">
        <v>10300</v>
      </c>
      <c r="F47" s="16">
        <v>-8300</v>
      </c>
      <c r="G47" s="30">
        <v>9800</v>
      </c>
      <c r="H47" s="16">
        <f>-2000-9800</f>
        <v>-11800</v>
      </c>
      <c r="I47" s="15">
        <v>8400</v>
      </c>
      <c r="J47" s="16">
        <v>-8400</v>
      </c>
      <c r="K47" s="15">
        <v>7550</v>
      </c>
      <c r="L47" s="16">
        <v>-7550</v>
      </c>
      <c r="M47" s="7"/>
      <c r="N47" s="32">
        <f t="shared" si="0"/>
        <v>0</v>
      </c>
    </row>
    <row r="48" spans="1:14" ht="16.5" thickBot="1">
      <c r="A48" s="1" t="s">
        <v>43</v>
      </c>
      <c r="B48" s="36" t="s">
        <v>135</v>
      </c>
      <c r="C48" s="16">
        <v>7300</v>
      </c>
      <c r="D48" s="16">
        <v>-7300</v>
      </c>
      <c r="E48" s="16">
        <v>10300</v>
      </c>
      <c r="F48" s="16">
        <v>-8300</v>
      </c>
      <c r="G48" s="30">
        <v>9800</v>
      </c>
      <c r="H48" s="16">
        <f>-2000-9800</f>
        <v>-11800</v>
      </c>
      <c r="I48" s="15">
        <v>8400</v>
      </c>
      <c r="J48" s="16">
        <v>-8400</v>
      </c>
      <c r="K48" s="15">
        <v>7550</v>
      </c>
      <c r="L48" s="16">
        <v>-7550</v>
      </c>
      <c r="M48" s="41"/>
      <c r="N48" s="32">
        <f t="shared" si="0"/>
        <v>0</v>
      </c>
    </row>
    <row r="49" spans="1:14" ht="16.5" thickBot="1">
      <c r="A49" s="12" t="s">
        <v>44</v>
      </c>
      <c r="B49" s="37" t="s">
        <v>136</v>
      </c>
      <c r="C49" s="16">
        <v>7300</v>
      </c>
      <c r="D49" s="17">
        <v>-7300</v>
      </c>
      <c r="E49" s="16">
        <v>10300</v>
      </c>
      <c r="F49" s="17">
        <f>-1000-7300-2000</f>
        <v>-10300</v>
      </c>
      <c r="G49" s="30">
        <v>9800</v>
      </c>
      <c r="H49" s="17">
        <v>-9800</v>
      </c>
      <c r="I49" s="15">
        <v>8400</v>
      </c>
      <c r="J49" s="17">
        <v>-8400</v>
      </c>
      <c r="K49" s="15">
        <v>7550</v>
      </c>
      <c r="L49" s="17">
        <v>-7550</v>
      </c>
      <c r="M49" s="14"/>
      <c r="N49" s="32">
        <f t="shared" si="0"/>
        <v>0</v>
      </c>
    </row>
    <row r="50" spans="1:14" ht="16.5" thickBot="1">
      <c r="A50" s="1" t="s">
        <v>45</v>
      </c>
      <c r="B50" s="36" t="s">
        <v>137</v>
      </c>
      <c r="C50" s="16">
        <v>7300</v>
      </c>
      <c r="D50" s="16">
        <v>-7300</v>
      </c>
      <c r="E50" s="16">
        <v>10300</v>
      </c>
      <c r="F50" s="16">
        <f>-1000-7300-2000</f>
        <v>-10300</v>
      </c>
      <c r="G50" s="30">
        <v>9800</v>
      </c>
      <c r="H50" s="16">
        <v>-9800</v>
      </c>
      <c r="I50" s="15">
        <v>8400</v>
      </c>
      <c r="J50" s="16">
        <v>-8400</v>
      </c>
      <c r="K50" s="15">
        <v>7550</v>
      </c>
      <c r="L50" s="16">
        <v>-7550</v>
      </c>
      <c r="M50" s="7"/>
      <c r="N50" s="32">
        <f t="shared" si="0"/>
        <v>0</v>
      </c>
    </row>
    <row r="51" spans="1:14" ht="16.5" thickBot="1">
      <c r="A51" s="1" t="s">
        <v>46</v>
      </c>
      <c r="B51" s="36" t="s">
        <v>138</v>
      </c>
      <c r="C51" s="16">
        <v>7300</v>
      </c>
      <c r="D51" s="16">
        <v>-7300</v>
      </c>
      <c r="E51" s="16">
        <v>10300</v>
      </c>
      <c r="F51" s="16">
        <v>-8300</v>
      </c>
      <c r="G51" s="30">
        <v>9800</v>
      </c>
      <c r="H51" s="16">
        <v>-11800</v>
      </c>
      <c r="I51" s="15">
        <v>8400</v>
      </c>
      <c r="J51" s="16">
        <v>-8400</v>
      </c>
      <c r="K51" s="15">
        <v>7550</v>
      </c>
      <c r="L51" s="16">
        <v>-7550</v>
      </c>
      <c r="M51" s="7"/>
      <c r="N51" s="32">
        <f t="shared" si="0"/>
        <v>0</v>
      </c>
    </row>
    <row r="52" spans="1:14" ht="16.5" thickBot="1">
      <c r="A52" s="1" t="s">
        <v>47</v>
      </c>
      <c r="B52" s="36" t="s">
        <v>139</v>
      </c>
      <c r="C52" s="16">
        <v>7300</v>
      </c>
      <c r="D52" s="16">
        <v>-7300</v>
      </c>
      <c r="E52" s="16">
        <v>10300</v>
      </c>
      <c r="F52" s="16">
        <f>-8300-2000</f>
        <v>-10300</v>
      </c>
      <c r="G52" s="30">
        <v>9800</v>
      </c>
      <c r="H52" s="16">
        <v>-9800</v>
      </c>
      <c r="I52" s="15">
        <v>8400</v>
      </c>
      <c r="J52" s="16">
        <v>-8400</v>
      </c>
      <c r="K52" s="15">
        <v>7550</v>
      </c>
      <c r="L52" s="16">
        <v>-7550</v>
      </c>
      <c r="M52" s="7"/>
      <c r="N52" s="32">
        <f t="shared" si="0"/>
        <v>0</v>
      </c>
    </row>
    <row r="53" spans="1:14" ht="16.5" thickBot="1">
      <c r="A53" s="1" t="s">
        <v>48</v>
      </c>
      <c r="B53" s="36" t="s">
        <v>140</v>
      </c>
      <c r="C53" s="16">
        <v>7300</v>
      </c>
      <c r="D53" s="16">
        <v>-7300</v>
      </c>
      <c r="E53" s="16">
        <v>10300</v>
      </c>
      <c r="F53" s="16">
        <f>-8300-2000</f>
        <v>-10300</v>
      </c>
      <c r="G53" s="30">
        <v>9800</v>
      </c>
      <c r="H53" s="16">
        <v>-9800</v>
      </c>
      <c r="I53" s="15">
        <v>8400</v>
      </c>
      <c r="J53" s="16">
        <v>-8400</v>
      </c>
      <c r="K53" s="15">
        <v>7550</v>
      </c>
      <c r="L53" s="16">
        <v>-7500</v>
      </c>
      <c r="M53" s="7"/>
      <c r="N53" s="32">
        <f t="shared" si="0"/>
        <v>50</v>
      </c>
    </row>
    <row r="54" spans="1:14" ht="16.5" thickBot="1">
      <c r="A54" s="1" t="s">
        <v>49</v>
      </c>
      <c r="B54" s="36" t="s">
        <v>141</v>
      </c>
      <c r="C54" s="16">
        <v>7300</v>
      </c>
      <c r="D54" s="16">
        <v>-7300</v>
      </c>
      <c r="E54" s="16">
        <v>10300</v>
      </c>
      <c r="F54" s="16">
        <f>-1000-7300</f>
        <v>-8300</v>
      </c>
      <c r="G54" s="30">
        <v>9800</v>
      </c>
      <c r="H54" s="16">
        <f>-2000-9800</f>
        <v>-11800</v>
      </c>
      <c r="I54" s="15">
        <v>8400</v>
      </c>
      <c r="J54" s="16">
        <v>-8400</v>
      </c>
      <c r="K54" s="15">
        <v>7550</v>
      </c>
      <c r="L54" s="4"/>
      <c r="M54" s="7"/>
      <c r="N54" s="32">
        <f t="shared" si="0"/>
        <v>7550</v>
      </c>
    </row>
    <row r="55" spans="1:14" ht="16.5" thickBot="1">
      <c r="A55" s="1" t="s">
        <v>50</v>
      </c>
      <c r="B55" s="36" t="s">
        <v>142</v>
      </c>
      <c r="C55" s="16">
        <v>7300</v>
      </c>
      <c r="D55" s="16">
        <v>-7300</v>
      </c>
      <c r="E55" s="16">
        <v>10300</v>
      </c>
      <c r="F55" s="16">
        <f>-10300-2000</f>
        <v>-12300</v>
      </c>
      <c r="G55" s="30">
        <v>9800</v>
      </c>
      <c r="H55" s="16">
        <v>-9800</v>
      </c>
      <c r="I55" s="15">
        <v>8400</v>
      </c>
      <c r="J55" s="16">
        <v>-6400</v>
      </c>
      <c r="K55" s="15">
        <v>7550</v>
      </c>
      <c r="L55" s="16">
        <v>-7550</v>
      </c>
      <c r="M55" s="7"/>
      <c r="N55" s="32">
        <f t="shared" si="0"/>
        <v>0</v>
      </c>
    </row>
    <row r="56" spans="1:14" ht="16.5" thickBot="1">
      <c r="A56" s="1" t="s">
        <v>51</v>
      </c>
      <c r="B56" s="36" t="s">
        <v>143</v>
      </c>
      <c r="C56" s="16">
        <v>7300</v>
      </c>
      <c r="D56" s="16">
        <v>-7300</v>
      </c>
      <c r="E56" s="16">
        <v>10300</v>
      </c>
      <c r="F56" s="16">
        <v>-8300</v>
      </c>
      <c r="G56" s="30">
        <v>9800</v>
      </c>
      <c r="H56" s="16"/>
      <c r="I56" s="15">
        <v>8400</v>
      </c>
      <c r="J56" s="16"/>
      <c r="K56" s="15">
        <v>7550</v>
      </c>
      <c r="L56" s="4"/>
      <c r="M56" s="7"/>
      <c r="N56" s="32">
        <f t="shared" si="0"/>
        <v>27750</v>
      </c>
    </row>
    <row r="57" spans="1:14" ht="16.5" thickBot="1">
      <c r="A57" s="12" t="s">
        <v>52</v>
      </c>
      <c r="B57" s="37" t="s">
        <v>144</v>
      </c>
      <c r="C57" s="16">
        <v>7300</v>
      </c>
      <c r="D57" s="17">
        <f>-3000-4300</f>
        <v>-7300</v>
      </c>
      <c r="E57" s="16">
        <v>10300</v>
      </c>
      <c r="F57" s="17">
        <v>-8300</v>
      </c>
      <c r="G57" s="30">
        <v>9800</v>
      </c>
      <c r="H57" s="17">
        <v>-9800</v>
      </c>
      <c r="I57" s="15">
        <v>8400</v>
      </c>
      <c r="J57" s="17">
        <v>-10000</v>
      </c>
      <c r="K57" s="15">
        <v>7550</v>
      </c>
      <c r="L57" s="17">
        <v>-8000</v>
      </c>
      <c r="M57" s="14"/>
      <c r="N57" s="32">
        <f t="shared" si="0"/>
        <v>-50</v>
      </c>
    </row>
    <row r="58" spans="1:14" ht="16.5" thickBot="1">
      <c r="A58" s="1" t="s">
        <v>53</v>
      </c>
      <c r="B58" s="36" t="s">
        <v>148</v>
      </c>
      <c r="C58" s="16">
        <v>7300</v>
      </c>
      <c r="D58" s="16">
        <v>-7300</v>
      </c>
      <c r="E58" s="16">
        <v>10300</v>
      </c>
      <c r="F58" s="16">
        <f>-1000-7300-2000</f>
        <v>-10300</v>
      </c>
      <c r="G58" s="30">
        <v>9800</v>
      </c>
      <c r="H58" s="16">
        <v>-9800</v>
      </c>
      <c r="I58" s="15">
        <v>8400</v>
      </c>
      <c r="J58" s="16">
        <v>-8400</v>
      </c>
      <c r="K58" s="15">
        <v>7550</v>
      </c>
      <c r="L58" s="4"/>
      <c r="M58" s="7"/>
      <c r="N58" s="32">
        <f t="shared" si="0"/>
        <v>7550</v>
      </c>
    </row>
    <row r="59" spans="1:14" ht="16.5" thickBot="1">
      <c r="A59" s="1" t="s">
        <v>89</v>
      </c>
      <c r="B59" s="36" t="s">
        <v>145</v>
      </c>
      <c r="C59" s="16">
        <v>7300</v>
      </c>
      <c r="D59" s="16">
        <v>-7300</v>
      </c>
      <c r="E59" s="16">
        <v>10300</v>
      </c>
      <c r="F59" s="16">
        <v>-7300</v>
      </c>
      <c r="G59" s="30">
        <v>9800</v>
      </c>
      <c r="H59" s="16">
        <f>-700-9800</f>
        <v>-10500</v>
      </c>
      <c r="I59" s="15">
        <v>8400</v>
      </c>
      <c r="J59" s="16">
        <f>-6000-5000</f>
        <v>-11000</v>
      </c>
      <c r="K59" s="15">
        <v>7550</v>
      </c>
      <c r="L59" s="16">
        <v>-8000</v>
      </c>
      <c r="M59" s="7"/>
      <c r="N59" s="32">
        <f t="shared" si="0"/>
        <v>-750</v>
      </c>
    </row>
    <row r="60" spans="1:14" ht="16.5" thickBot="1">
      <c r="A60" s="1" t="s">
        <v>54</v>
      </c>
      <c r="B60" s="36" t="s">
        <v>146</v>
      </c>
      <c r="C60" s="16">
        <v>7300</v>
      </c>
      <c r="D60" s="16">
        <v>-7300</v>
      </c>
      <c r="E60" s="16">
        <v>10300</v>
      </c>
      <c r="F60" s="16"/>
      <c r="G60" s="30">
        <v>9800</v>
      </c>
      <c r="H60" s="16">
        <v>-8300</v>
      </c>
      <c r="I60" s="15">
        <v>8400</v>
      </c>
      <c r="J60" s="16">
        <v>-8000</v>
      </c>
      <c r="K60" s="15">
        <v>7550</v>
      </c>
      <c r="L60" s="16">
        <v>-8000</v>
      </c>
      <c r="M60" s="7"/>
      <c r="N60" s="32">
        <f t="shared" si="0"/>
        <v>11750</v>
      </c>
    </row>
    <row r="61" spans="1:14" ht="16.5" thickBot="1">
      <c r="A61" s="12" t="s">
        <v>55</v>
      </c>
      <c r="B61" s="37" t="s">
        <v>147</v>
      </c>
      <c r="C61" s="16">
        <v>7300</v>
      </c>
      <c r="D61" s="17">
        <v>-7300</v>
      </c>
      <c r="E61" s="16">
        <v>10300</v>
      </c>
      <c r="F61" s="17">
        <f>-1000-7300</f>
        <v>-8300</v>
      </c>
      <c r="G61" s="30">
        <v>9800</v>
      </c>
      <c r="H61" s="17"/>
      <c r="I61" s="15">
        <v>8400</v>
      </c>
      <c r="J61" s="17">
        <v>-9800</v>
      </c>
      <c r="K61" s="19">
        <v>7550</v>
      </c>
      <c r="L61" s="17">
        <f>-8400-7550</f>
        <v>-15950</v>
      </c>
      <c r="M61" s="14"/>
      <c r="N61" s="32">
        <f t="shared" si="0"/>
        <v>2000</v>
      </c>
    </row>
    <row r="62" spans="1:14" ht="16.5" thickBot="1">
      <c r="A62" s="12" t="s">
        <v>56</v>
      </c>
      <c r="B62" s="37" t="s">
        <v>148</v>
      </c>
      <c r="C62" s="16">
        <v>7300</v>
      </c>
      <c r="D62" s="17">
        <v>-7300</v>
      </c>
      <c r="E62" s="16">
        <v>10300</v>
      </c>
      <c r="F62" s="17"/>
      <c r="G62" s="30">
        <v>9800</v>
      </c>
      <c r="H62" s="17"/>
      <c r="I62" s="15">
        <v>8400</v>
      </c>
      <c r="J62" s="17"/>
      <c r="K62" s="19">
        <v>7550</v>
      </c>
      <c r="L62" s="13"/>
      <c r="M62" s="14"/>
      <c r="N62" s="32">
        <f t="shared" si="0"/>
        <v>36050</v>
      </c>
    </row>
    <row r="63" spans="1:14" ht="16.5" thickBot="1">
      <c r="A63" s="20" t="s">
        <v>57</v>
      </c>
      <c r="B63" s="38" t="s">
        <v>149</v>
      </c>
      <c r="C63" s="16">
        <v>7300</v>
      </c>
      <c r="D63" s="21">
        <f>-3000-4300</f>
        <v>-7300</v>
      </c>
      <c r="E63" s="16">
        <v>10300</v>
      </c>
      <c r="F63" s="21">
        <v>-4000</v>
      </c>
      <c r="G63" s="30">
        <v>9800</v>
      </c>
      <c r="H63" s="21">
        <v>-5000</v>
      </c>
      <c r="I63" s="15">
        <v>8400</v>
      </c>
      <c r="J63" s="21">
        <v>-8400</v>
      </c>
      <c r="K63" s="22">
        <v>7550</v>
      </c>
      <c r="L63" s="21">
        <v>-7550</v>
      </c>
      <c r="M63" s="23"/>
      <c r="N63" s="32">
        <f t="shared" si="0"/>
        <v>11100</v>
      </c>
    </row>
    <row r="64" spans="1:14" ht="16.5" thickBot="1">
      <c r="A64" s="20" t="s">
        <v>58</v>
      </c>
      <c r="B64" s="38" t="s">
        <v>150</v>
      </c>
      <c r="C64" s="16">
        <v>7300</v>
      </c>
      <c r="D64" s="21">
        <f>-3000-4300</f>
        <v>-7300</v>
      </c>
      <c r="E64" s="16">
        <v>10300</v>
      </c>
      <c r="F64" s="21">
        <v>-4300</v>
      </c>
      <c r="G64" s="30">
        <v>9800</v>
      </c>
      <c r="H64" s="21">
        <v>-5000</v>
      </c>
      <c r="I64" s="15">
        <v>8400</v>
      </c>
      <c r="J64" s="21">
        <v>-8400</v>
      </c>
      <c r="K64" s="22">
        <v>7550</v>
      </c>
      <c r="L64" s="21">
        <v>-7550</v>
      </c>
      <c r="M64" s="23"/>
      <c r="N64" s="32">
        <f t="shared" si="0"/>
        <v>10800</v>
      </c>
    </row>
    <row r="65" spans="1:14" ht="16.5" thickBot="1">
      <c r="A65" s="1" t="s">
        <v>59</v>
      </c>
      <c r="B65" s="36" t="s">
        <v>151</v>
      </c>
      <c r="C65" s="16">
        <v>7300</v>
      </c>
      <c r="D65" s="16">
        <v>-7300</v>
      </c>
      <c r="E65" s="16">
        <v>10300</v>
      </c>
      <c r="F65" s="16">
        <v>-8300</v>
      </c>
      <c r="G65" s="30">
        <v>9800</v>
      </c>
      <c r="H65" s="16">
        <f>-2000-9800</f>
        <v>-11800</v>
      </c>
      <c r="I65" s="15">
        <v>8400</v>
      </c>
      <c r="J65" s="16">
        <v>-8400</v>
      </c>
      <c r="K65" s="15">
        <v>7550</v>
      </c>
      <c r="L65" s="4"/>
      <c r="M65" s="7"/>
      <c r="N65" s="32">
        <f t="shared" si="0"/>
        <v>7550</v>
      </c>
    </row>
    <row r="66" spans="1:14" ht="16.5" thickBot="1">
      <c r="A66" s="1" t="s">
        <v>60</v>
      </c>
      <c r="B66" s="36" t="s">
        <v>152</v>
      </c>
      <c r="C66" s="16">
        <v>7300</v>
      </c>
      <c r="D66" s="16">
        <v>-7300</v>
      </c>
      <c r="E66" s="16">
        <v>10300</v>
      </c>
      <c r="F66" s="16">
        <f>-8300-2000</f>
        <v>-10300</v>
      </c>
      <c r="G66" s="30">
        <v>9800</v>
      </c>
      <c r="H66" s="16">
        <v>-9800</v>
      </c>
      <c r="I66" s="15">
        <v>8400</v>
      </c>
      <c r="J66" s="16">
        <v>-8400</v>
      </c>
      <c r="K66" s="15">
        <v>7550</v>
      </c>
      <c r="L66" s="16">
        <v>-7550</v>
      </c>
      <c r="M66" s="7"/>
      <c r="N66" s="32">
        <f t="shared" si="0"/>
        <v>0</v>
      </c>
    </row>
    <row r="67" spans="1:14" ht="16.5" thickBot="1">
      <c r="A67" s="1" t="s">
        <v>61</v>
      </c>
      <c r="B67" s="36" t="s">
        <v>153</v>
      </c>
      <c r="C67" s="16">
        <v>7300</v>
      </c>
      <c r="D67" s="16">
        <v>-7300</v>
      </c>
      <c r="E67" s="16">
        <v>10300</v>
      </c>
      <c r="F67" s="16">
        <f>-1000-7300-2000</f>
        <v>-10300</v>
      </c>
      <c r="G67" s="30">
        <v>9800</v>
      </c>
      <c r="H67" s="16">
        <f>-7300-2500</f>
        <v>-9800</v>
      </c>
      <c r="I67" s="15">
        <v>8400</v>
      </c>
      <c r="J67" s="16">
        <v>-9800</v>
      </c>
      <c r="K67" s="15">
        <v>7550</v>
      </c>
      <c r="L67" s="16">
        <v>-7550</v>
      </c>
      <c r="M67" s="7"/>
      <c r="N67" s="32">
        <f t="shared" si="0"/>
        <v>-1400</v>
      </c>
    </row>
    <row r="68" spans="1:14" ht="16.5" thickBot="1">
      <c r="A68" s="1" t="s">
        <v>62</v>
      </c>
      <c r="B68" s="36" t="s">
        <v>154</v>
      </c>
      <c r="C68" s="16">
        <v>7300</v>
      </c>
      <c r="D68" s="16">
        <v>-7300</v>
      </c>
      <c r="E68" s="16">
        <v>10300</v>
      </c>
      <c r="F68" s="16">
        <f>-1000-7300-2000</f>
        <v>-10300</v>
      </c>
      <c r="G68" s="30">
        <v>9800</v>
      </c>
      <c r="H68" s="16">
        <v>-9800</v>
      </c>
      <c r="I68" s="15">
        <v>8400</v>
      </c>
      <c r="J68" s="16">
        <v>-10300</v>
      </c>
      <c r="K68" s="15">
        <v>7550</v>
      </c>
      <c r="L68" s="16">
        <v>-8000</v>
      </c>
      <c r="M68" s="7"/>
      <c r="N68" s="32">
        <f t="shared" ref="N68:N90" si="1">SUM(C68:M68)</f>
        <v>-2350</v>
      </c>
    </row>
    <row r="69" spans="1:14" ht="16.5" thickBot="1">
      <c r="A69" s="12" t="s">
        <v>63</v>
      </c>
      <c r="B69" s="40" t="s">
        <v>173</v>
      </c>
      <c r="C69" s="16">
        <v>7300</v>
      </c>
      <c r="D69" s="17">
        <f>-1000-6300</f>
        <v>-7300</v>
      </c>
      <c r="E69" s="16">
        <v>10300</v>
      </c>
      <c r="F69" s="17">
        <f>-4300-4000-2000</f>
        <v>-10300</v>
      </c>
      <c r="G69" s="30">
        <v>9800</v>
      </c>
      <c r="H69" s="17">
        <v>-4800</v>
      </c>
      <c r="I69" s="15">
        <v>8400</v>
      </c>
      <c r="J69" s="17"/>
      <c r="K69" s="19">
        <v>7550</v>
      </c>
      <c r="L69" s="17">
        <v>-7500</v>
      </c>
      <c r="M69" s="14"/>
      <c r="N69" s="32">
        <f t="shared" si="1"/>
        <v>13450</v>
      </c>
    </row>
    <row r="70" spans="1:14" ht="16.5" thickBot="1">
      <c r="A70" s="12" t="s">
        <v>64</v>
      </c>
      <c r="B70" s="40" t="s">
        <v>174</v>
      </c>
      <c r="C70" s="16">
        <v>7300</v>
      </c>
      <c r="D70" s="17">
        <v>-7300</v>
      </c>
      <c r="E70" s="16">
        <v>10300</v>
      </c>
      <c r="F70" s="17">
        <v>-8300</v>
      </c>
      <c r="G70" s="30">
        <v>9800</v>
      </c>
      <c r="H70" s="17">
        <v>-9800</v>
      </c>
      <c r="I70" s="15">
        <v>8400</v>
      </c>
      <c r="J70" s="17">
        <v>-8400</v>
      </c>
      <c r="K70" s="15">
        <v>7550</v>
      </c>
      <c r="L70" s="17">
        <v>-7550</v>
      </c>
      <c r="M70" s="14"/>
      <c r="N70" s="32">
        <f t="shared" si="1"/>
        <v>2000</v>
      </c>
    </row>
    <row r="71" spans="1:14" ht="16.5" thickBot="1">
      <c r="A71" s="1" t="s">
        <v>65</v>
      </c>
      <c r="B71" s="39" t="s">
        <v>175</v>
      </c>
      <c r="C71" s="16">
        <v>7300</v>
      </c>
      <c r="D71" s="16">
        <v>-7000</v>
      </c>
      <c r="E71" s="16">
        <v>10300</v>
      </c>
      <c r="F71" s="16">
        <v>-8300.6299999999992</v>
      </c>
      <c r="G71" s="30">
        <v>9800</v>
      </c>
      <c r="H71" s="16">
        <v>-9300</v>
      </c>
      <c r="I71" s="15">
        <v>8400</v>
      </c>
      <c r="J71" s="16">
        <v>-10000</v>
      </c>
      <c r="K71" s="15">
        <v>7550</v>
      </c>
      <c r="L71" s="16">
        <v>-10000</v>
      </c>
      <c r="M71" s="7"/>
      <c r="N71" s="32">
        <f t="shared" si="1"/>
        <v>-1250.6299999999992</v>
      </c>
    </row>
    <row r="72" spans="1:14" ht="16.5" thickBot="1">
      <c r="A72" s="12" t="s">
        <v>66</v>
      </c>
      <c r="B72" s="40" t="s">
        <v>176</v>
      </c>
      <c r="C72" s="16">
        <v>7300</v>
      </c>
      <c r="D72" s="17">
        <f>-3500-3800</f>
        <v>-7300</v>
      </c>
      <c r="E72" s="16">
        <v>10300</v>
      </c>
      <c r="F72" s="17">
        <f>-7300-1000-2000</f>
        <v>-10300</v>
      </c>
      <c r="G72" s="30">
        <v>9800</v>
      </c>
      <c r="H72" s="17">
        <v>-9800</v>
      </c>
      <c r="I72" s="15">
        <v>8400</v>
      </c>
      <c r="J72" s="17">
        <v>-8400</v>
      </c>
      <c r="K72" s="15">
        <v>7550</v>
      </c>
      <c r="L72" s="17">
        <v>-7550</v>
      </c>
      <c r="M72" s="14"/>
      <c r="N72" s="32">
        <f t="shared" si="1"/>
        <v>0</v>
      </c>
    </row>
    <row r="73" spans="1:14" ht="16.5" thickBot="1">
      <c r="A73" s="1" t="s">
        <v>67</v>
      </c>
      <c r="B73" s="39" t="s">
        <v>177</v>
      </c>
      <c r="C73" s="16">
        <v>7300</v>
      </c>
      <c r="D73" s="16">
        <f>-4000-2300-1000</f>
        <v>-7300</v>
      </c>
      <c r="E73" s="16">
        <v>10300</v>
      </c>
      <c r="F73" s="16">
        <f>-5000-3300-2000</f>
        <v>-10300</v>
      </c>
      <c r="G73" s="30">
        <v>9800</v>
      </c>
      <c r="H73" s="16">
        <f>-3000-2000-2800-2000</f>
        <v>-9800</v>
      </c>
      <c r="I73" s="15">
        <v>8400</v>
      </c>
      <c r="J73" s="16">
        <f>-6000-2400</f>
        <v>-8400</v>
      </c>
      <c r="K73" s="15">
        <v>7550</v>
      </c>
      <c r="L73" s="16">
        <f>-5000-2550-5000</f>
        <v>-12550</v>
      </c>
      <c r="M73" s="7"/>
      <c r="N73" s="32">
        <f t="shared" si="1"/>
        <v>-5000</v>
      </c>
    </row>
    <row r="74" spans="1:14" ht="16.5" thickBot="1">
      <c r="A74" s="1" t="s">
        <v>68</v>
      </c>
      <c r="B74" s="39" t="s">
        <v>178</v>
      </c>
      <c r="C74" s="16">
        <v>7300</v>
      </c>
      <c r="D74" s="16">
        <v>-7300</v>
      </c>
      <c r="E74" s="16">
        <v>10300</v>
      </c>
      <c r="F74" s="16">
        <v>-8300</v>
      </c>
      <c r="G74" s="30">
        <v>9800</v>
      </c>
      <c r="H74" s="16">
        <f>-9800-2000</f>
        <v>-11800</v>
      </c>
      <c r="I74" s="15">
        <v>8400</v>
      </c>
      <c r="J74" s="16">
        <v>-8400</v>
      </c>
      <c r="K74" s="15">
        <v>7550</v>
      </c>
      <c r="L74" s="16">
        <v>-7550</v>
      </c>
      <c r="M74" s="7"/>
      <c r="N74" s="32">
        <f t="shared" si="1"/>
        <v>0</v>
      </c>
    </row>
    <row r="75" spans="1:14" ht="16.5" thickBot="1">
      <c r="A75" s="12" t="s">
        <v>69</v>
      </c>
      <c r="B75" s="37" t="s">
        <v>155</v>
      </c>
      <c r="C75" s="16">
        <v>7300</v>
      </c>
      <c r="D75" s="17">
        <v>-7300</v>
      </c>
      <c r="E75" s="16">
        <v>10300</v>
      </c>
      <c r="F75" s="17">
        <f>-8300-2000</f>
        <v>-10300</v>
      </c>
      <c r="G75" s="30">
        <v>9800</v>
      </c>
      <c r="H75" s="17">
        <v>-9800</v>
      </c>
      <c r="I75" s="15">
        <v>8400</v>
      </c>
      <c r="J75" s="17">
        <v>-8400</v>
      </c>
      <c r="K75" s="15">
        <v>7550</v>
      </c>
      <c r="L75" s="17">
        <v>-7550</v>
      </c>
      <c r="M75" s="14"/>
      <c r="N75" s="32">
        <f t="shared" si="1"/>
        <v>0</v>
      </c>
    </row>
    <row r="76" spans="1:14" ht="16.5" thickBot="1">
      <c r="A76" s="1" t="s">
        <v>70</v>
      </c>
      <c r="B76" s="36" t="s">
        <v>156</v>
      </c>
      <c r="C76" s="16">
        <v>7300</v>
      </c>
      <c r="D76" s="16">
        <v>-7300</v>
      </c>
      <c r="E76" s="16">
        <v>10300</v>
      </c>
      <c r="F76" s="16">
        <f>-10300-2000-8300</f>
        <v>-20600</v>
      </c>
      <c r="G76" s="30">
        <v>9800</v>
      </c>
      <c r="H76" s="16">
        <v>-7800</v>
      </c>
      <c r="I76" s="15">
        <v>8400</v>
      </c>
      <c r="J76" s="16">
        <v>-2100</v>
      </c>
      <c r="K76" s="15">
        <v>7550</v>
      </c>
      <c r="L76" s="16">
        <v>-7550</v>
      </c>
      <c r="M76" s="7"/>
      <c r="N76" s="32">
        <f t="shared" si="1"/>
        <v>-2000</v>
      </c>
    </row>
    <row r="77" spans="1:14" ht="16.5" thickBot="1">
      <c r="A77" s="1" t="s">
        <v>71</v>
      </c>
      <c r="B77" s="36" t="s">
        <v>157</v>
      </c>
      <c r="C77" s="16">
        <v>7300</v>
      </c>
      <c r="D77" s="16">
        <f>-4000-3300</f>
        <v>-7300</v>
      </c>
      <c r="E77" s="16">
        <v>10300</v>
      </c>
      <c r="F77" s="16">
        <v>-8300</v>
      </c>
      <c r="G77" s="30">
        <v>9800</v>
      </c>
      <c r="H77" s="16">
        <f>-9800-2000</f>
        <v>-11800</v>
      </c>
      <c r="I77" s="15">
        <v>8400</v>
      </c>
      <c r="J77" s="16">
        <v>-8400</v>
      </c>
      <c r="K77" s="15">
        <v>7550</v>
      </c>
      <c r="L77" s="16">
        <v>-7550</v>
      </c>
      <c r="M77" s="7"/>
      <c r="N77" s="32">
        <f t="shared" si="1"/>
        <v>0</v>
      </c>
    </row>
    <row r="78" spans="1:14" ht="16.5" thickBot="1">
      <c r="A78" s="1" t="s">
        <v>72</v>
      </c>
      <c r="B78" s="36" t="s">
        <v>158</v>
      </c>
      <c r="C78" s="16">
        <v>7300</v>
      </c>
      <c r="D78" s="16">
        <f>-3500-4000</f>
        <v>-7500</v>
      </c>
      <c r="E78" s="16">
        <v>10300</v>
      </c>
      <c r="F78" s="16">
        <f>-8300-1000</f>
        <v>-9300</v>
      </c>
      <c r="G78" s="30">
        <v>9800</v>
      </c>
      <c r="H78" s="16">
        <f>-3000-6800</f>
        <v>-9800</v>
      </c>
      <c r="I78" s="15">
        <v>8400</v>
      </c>
      <c r="J78" s="16">
        <f>-5000-1700-2000-190-8255.53</f>
        <v>-17145.53</v>
      </c>
      <c r="K78" s="15">
        <v>7550</v>
      </c>
      <c r="L78" s="16"/>
      <c r="M78" s="7"/>
      <c r="N78" s="32">
        <f t="shared" si="1"/>
        <v>-395.52999999999884</v>
      </c>
    </row>
    <row r="79" spans="1:14" ht="16.5" thickBot="1">
      <c r="A79" s="1" t="s">
        <v>73</v>
      </c>
      <c r="B79" s="36" t="s">
        <v>159</v>
      </c>
      <c r="C79" s="16">
        <v>7300</v>
      </c>
      <c r="D79" s="16">
        <v>-7300</v>
      </c>
      <c r="E79" s="16">
        <v>10300</v>
      </c>
      <c r="F79" s="16"/>
      <c r="G79" s="30">
        <v>9800</v>
      </c>
      <c r="H79" s="16">
        <v>-9800</v>
      </c>
      <c r="I79" s="15">
        <v>8400</v>
      </c>
      <c r="J79" s="16">
        <v>-18700</v>
      </c>
      <c r="K79" s="15">
        <v>7550</v>
      </c>
      <c r="L79" s="4"/>
      <c r="M79" s="7"/>
      <c r="N79" s="32">
        <f t="shared" si="1"/>
        <v>7550</v>
      </c>
    </row>
    <row r="80" spans="1:14" ht="16.5" thickBot="1">
      <c r="A80" s="1" t="s">
        <v>74</v>
      </c>
      <c r="B80" s="36" t="s">
        <v>160</v>
      </c>
      <c r="C80" s="16">
        <v>7300</v>
      </c>
      <c r="D80" s="16">
        <v>-7300</v>
      </c>
      <c r="E80" s="16">
        <v>10300</v>
      </c>
      <c r="F80" s="16">
        <f>-1000-7300</f>
        <v>-8300</v>
      </c>
      <c r="G80" s="30">
        <v>9800</v>
      </c>
      <c r="H80" s="16"/>
      <c r="I80" s="15">
        <v>8400</v>
      </c>
      <c r="J80" s="16">
        <f>-2000-9800</f>
        <v>-11800</v>
      </c>
      <c r="K80" s="15">
        <v>7550</v>
      </c>
      <c r="L80" s="16">
        <f>-7550-8400</f>
        <v>-15950</v>
      </c>
      <c r="M80" s="7"/>
      <c r="N80" s="32">
        <f t="shared" si="1"/>
        <v>0</v>
      </c>
    </row>
    <row r="81" spans="1:14" ht="16.5" thickBot="1">
      <c r="A81" s="1" t="s">
        <v>90</v>
      </c>
      <c r="B81" s="36" t="s">
        <v>161</v>
      </c>
      <c r="C81" s="29">
        <v>7300</v>
      </c>
      <c r="D81" s="16">
        <v>-7300</v>
      </c>
      <c r="E81" s="29">
        <v>10300</v>
      </c>
      <c r="F81" s="16">
        <v>-10300</v>
      </c>
      <c r="G81" s="33">
        <v>19600</v>
      </c>
      <c r="H81" s="16"/>
      <c r="I81" s="34">
        <v>16800</v>
      </c>
      <c r="J81" s="16">
        <v>-10800</v>
      </c>
      <c r="K81" s="15">
        <f>7550+7550</f>
        <v>15100</v>
      </c>
      <c r="L81" s="16">
        <v>-22500</v>
      </c>
      <c r="M81" s="7"/>
      <c r="N81" s="32">
        <f t="shared" si="1"/>
        <v>18200</v>
      </c>
    </row>
    <row r="82" spans="1:14" ht="16.5" thickBot="1">
      <c r="A82" s="1" t="s">
        <v>75</v>
      </c>
      <c r="B82" s="36" t="s">
        <v>162</v>
      </c>
      <c r="C82" s="16">
        <v>7300</v>
      </c>
      <c r="D82" s="16">
        <v>-7300</v>
      </c>
      <c r="E82" s="16">
        <v>10300</v>
      </c>
      <c r="F82" s="16">
        <f>-8300-2000</f>
        <v>-10300</v>
      </c>
      <c r="G82" s="30">
        <v>9800</v>
      </c>
      <c r="H82" s="16">
        <v>-2000</v>
      </c>
      <c r="I82" s="15">
        <v>8400</v>
      </c>
      <c r="J82" s="16">
        <f>-3000-3400-9800</f>
        <v>-16200</v>
      </c>
      <c r="K82" s="15">
        <v>7550</v>
      </c>
      <c r="L82" s="16">
        <v>-7550</v>
      </c>
      <c r="M82" s="7"/>
      <c r="N82" s="32">
        <f t="shared" si="1"/>
        <v>0</v>
      </c>
    </row>
    <row r="83" spans="1:14" ht="16.5" thickBot="1">
      <c r="A83" s="1" t="s">
        <v>76</v>
      </c>
      <c r="B83" s="36" t="s">
        <v>179</v>
      </c>
      <c r="C83" s="16">
        <v>7300</v>
      </c>
      <c r="D83" s="16">
        <v>-7300</v>
      </c>
      <c r="E83" s="16">
        <v>10300</v>
      </c>
      <c r="F83" s="16">
        <f>-7300-1000</f>
        <v>-8300</v>
      </c>
      <c r="G83" s="30">
        <v>9800</v>
      </c>
      <c r="H83" s="16">
        <v>-9800</v>
      </c>
      <c r="I83" s="15">
        <v>8400</v>
      </c>
      <c r="J83" s="16">
        <v>-9800</v>
      </c>
      <c r="K83" s="15">
        <v>7550</v>
      </c>
      <c r="L83" s="16">
        <f>-8400-5300</f>
        <v>-13700</v>
      </c>
      <c r="M83" s="7"/>
      <c r="N83" s="32">
        <f t="shared" si="1"/>
        <v>-5550</v>
      </c>
    </row>
    <row r="84" spans="1:14" ht="16.5" thickBot="1">
      <c r="A84" s="1" t="s">
        <v>77</v>
      </c>
      <c r="B84" s="36" t="s">
        <v>163</v>
      </c>
      <c r="C84" s="16">
        <v>7300</v>
      </c>
      <c r="D84" s="16">
        <v>-7300</v>
      </c>
      <c r="E84" s="16">
        <v>10300</v>
      </c>
      <c r="F84" s="16"/>
      <c r="G84" s="30">
        <v>9800</v>
      </c>
      <c r="H84" s="16"/>
      <c r="I84" s="15">
        <v>8400</v>
      </c>
      <c r="J84" s="16">
        <v>-18200</v>
      </c>
      <c r="K84" s="15">
        <v>7550</v>
      </c>
      <c r="L84" s="4"/>
      <c r="M84" s="7"/>
      <c r="N84" s="32">
        <f t="shared" si="1"/>
        <v>17850</v>
      </c>
    </row>
    <row r="85" spans="1:14" ht="16.5" thickBot="1">
      <c r="A85" s="1" t="s">
        <v>78</v>
      </c>
      <c r="B85" s="36" t="s">
        <v>164</v>
      </c>
      <c r="C85" s="16">
        <v>7300</v>
      </c>
      <c r="D85" s="16">
        <v>-7300</v>
      </c>
      <c r="E85" s="16">
        <v>10300</v>
      </c>
      <c r="F85" s="16">
        <f>-10300-2000</f>
        <v>-12300</v>
      </c>
      <c r="G85" s="30">
        <v>9800</v>
      </c>
      <c r="H85" s="16">
        <v>-7800</v>
      </c>
      <c r="I85" s="15">
        <v>8400</v>
      </c>
      <c r="J85" s="16">
        <v>-8400</v>
      </c>
      <c r="K85" s="15">
        <v>7550</v>
      </c>
      <c r="L85" s="16">
        <v>-7550</v>
      </c>
      <c r="M85" s="7"/>
      <c r="N85" s="32">
        <f t="shared" si="1"/>
        <v>0</v>
      </c>
    </row>
    <row r="86" spans="1:14" ht="16.5" thickBot="1">
      <c r="A86" s="1" t="s">
        <v>79</v>
      </c>
      <c r="B86" s="36" t="s">
        <v>99</v>
      </c>
      <c r="C86" s="16">
        <v>7300</v>
      </c>
      <c r="D86" s="16"/>
      <c r="E86" s="16">
        <v>10300</v>
      </c>
      <c r="F86" s="16">
        <f>-1000-7300</f>
        <v>-8300</v>
      </c>
      <c r="G86" s="30">
        <v>9800</v>
      </c>
      <c r="H86" s="16">
        <v>-9800</v>
      </c>
      <c r="I86" s="15">
        <v>8400</v>
      </c>
      <c r="J86" s="16"/>
      <c r="K86" s="15">
        <v>7550</v>
      </c>
      <c r="L86" s="4"/>
      <c r="M86" s="7"/>
      <c r="N86" s="32">
        <f t="shared" si="1"/>
        <v>25250</v>
      </c>
    </row>
    <row r="87" spans="1:14" ht="16.5" thickBot="1">
      <c r="A87" s="1" t="s">
        <v>80</v>
      </c>
      <c r="B87" s="36" t="s">
        <v>165</v>
      </c>
      <c r="C87" s="16">
        <v>7300</v>
      </c>
      <c r="D87" s="16">
        <v>-7300</v>
      </c>
      <c r="E87" s="16">
        <v>10300</v>
      </c>
      <c r="F87" s="16">
        <f>-1000-7300</f>
        <v>-8300</v>
      </c>
      <c r="G87" s="30">
        <v>9800</v>
      </c>
      <c r="H87" s="16">
        <f>-7300-200</f>
        <v>-7500</v>
      </c>
      <c r="I87" s="15">
        <v>8400</v>
      </c>
      <c r="J87" s="16">
        <f>-8400-9600</f>
        <v>-18000</v>
      </c>
      <c r="K87" s="15">
        <v>7550</v>
      </c>
      <c r="L87" s="4"/>
      <c r="M87" s="7"/>
      <c r="N87" s="32">
        <f t="shared" si="1"/>
        <v>2250</v>
      </c>
    </row>
    <row r="88" spans="1:14" ht="16.5" thickBot="1">
      <c r="A88" s="12" t="s">
        <v>81</v>
      </c>
      <c r="B88" s="37" t="s">
        <v>166</v>
      </c>
      <c r="C88" s="16">
        <v>7300</v>
      </c>
      <c r="D88" s="17">
        <v>-7300</v>
      </c>
      <c r="E88" s="16">
        <v>10300</v>
      </c>
      <c r="F88" s="17">
        <f>-8300-2000</f>
        <v>-10300</v>
      </c>
      <c r="G88" s="30">
        <v>9800</v>
      </c>
      <c r="H88" s="17">
        <f>-5000-4800</f>
        <v>-9800</v>
      </c>
      <c r="I88" s="15">
        <v>8400</v>
      </c>
      <c r="J88" s="17">
        <v>-8200</v>
      </c>
      <c r="K88" s="15">
        <v>7550</v>
      </c>
      <c r="L88" s="17">
        <v>-7550</v>
      </c>
      <c r="M88" s="14"/>
      <c r="N88" s="32">
        <f t="shared" si="1"/>
        <v>200</v>
      </c>
    </row>
    <row r="89" spans="1:14" ht="16.5" thickBot="1">
      <c r="A89" s="1" t="s">
        <v>82</v>
      </c>
      <c r="B89" s="36" t="s">
        <v>167</v>
      </c>
      <c r="C89" s="16">
        <v>7300</v>
      </c>
      <c r="D89" s="16">
        <f>-3000-4300</f>
        <v>-7300</v>
      </c>
      <c r="E89" s="16">
        <v>10300</v>
      </c>
      <c r="F89" s="16">
        <v>-7300</v>
      </c>
      <c r="G89" s="30">
        <v>9800</v>
      </c>
      <c r="H89" s="16">
        <v>-9800</v>
      </c>
      <c r="I89" s="15">
        <v>8400</v>
      </c>
      <c r="J89" s="16">
        <v>-8400</v>
      </c>
      <c r="K89" s="15">
        <v>7550</v>
      </c>
      <c r="L89" s="16">
        <f>-7150-3000-400</f>
        <v>-10550</v>
      </c>
      <c r="M89" s="7"/>
      <c r="N89" s="32">
        <f t="shared" si="1"/>
        <v>0</v>
      </c>
    </row>
    <row r="90" spans="1:14" ht="15.75">
      <c r="A90" s="1" t="s">
        <v>83</v>
      </c>
      <c r="B90" s="36" t="s">
        <v>168</v>
      </c>
      <c r="C90" s="16">
        <v>7300</v>
      </c>
      <c r="D90" s="16"/>
      <c r="E90" s="16">
        <v>10300</v>
      </c>
      <c r="F90" s="16"/>
      <c r="G90" s="30">
        <v>9800</v>
      </c>
      <c r="H90" s="16"/>
      <c r="I90" s="15">
        <v>8400</v>
      </c>
      <c r="J90" s="4"/>
      <c r="K90" s="7">
        <v>7550</v>
      </c>
      <c r="L90" s="4"/>
      <c r="M90" s="7"/>
      <c r="N90" s="32">
        <f t="shared" si="1"/>
        <v>43350</v>
      </c>
    </row>
    <row r="91" spans="1:14">
      <c r="K91" s="8"/>
      <c r="M91" s="8"/>
    </row>
    <row r="92" spans="1:14">
      <c r="K92" s="9"/>
      <c r="M92" s="9"/>
    </row>
    <row r="93" spans="1:14">
      <c r="K93" s="8"/>
      <c r="M93" s="8"/>
    </row>
    <row r="94" spans="1:14">
      <c r="K94" s="8"/>
      <c r="M94" s="8"/>
    </row>
    <row r="95" spans="1:14">
      <c r="K95"/>
    </row>
    <row r="96" spans="1:14">
      <c r="K96"/>
    </row>
    <row r="97" spans="11:13">
      <c r="K97"/>
    </row>
    <row r="98" spans="11:13">
      <c r="K98" s="8"/>
      <c r="M98" s="8"/>
    </row>
    <row r="99" spans="11:13">
      <c r="K99" s="8"/>
      <c r="M99" s="8"/>
    </row>
    <row r="100" spans="11:13">
      <c r="K100" s="9"/>
      <c r="M100" s="9"/>
    </row>
  </sheetData>
  <mergeCells count="1">
    <mergeCell ref="A1:N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9:K110"/>
  <sheetViews>
    <sheetView tabSelected="1" topLeftCell="A58" workbookViewId="0">
      <pane xSplit="1" topLeftCell="E1" activePane="topRight" state="frozen"/>
      <selection pane="topRight" activeCell="I54" sqref="I54"/>
    </sheetView>
  </sheetViews>
  <sheetFormatPr defaultRowHeight="15"/>
  <cols>
    <col min="1" max="1" width="10.28515625" bestFit="1" customWidth="1"/>
    <col min="2" max="3" width="20.7109375" customWidth="1"/>
    <col min="4" max="8" width="20.7109375" style="2" customWidth="1"/>
    <col min="9" max="10" width="19.85546875" style="2" customWidth="1"/>
    <col min="11" max="11" width="25.7109375" customWidth="1"/>
  </cols>
  <sheetData>
    <row r="9" spans="1:11" ht="15.75" thickBot="1">
      <c r="F9"/>
      <c r="G9"/>
      <c r="H9"/>
      <c r="I9"/>
      <c r="J9"/>
    </row>
    <row r="10" spans="1:11" ht="26.25" customHeight="1" thickBot="1">
      <c r="A10" s="11" t="s">
        <v>0</v>
      </c>
      <c r="B10" s="100" t="s">
        <v>96</v>
      </c>
      <c r="C10" s="53" t="s">
        <v>200</v>
      </c>
      <c r="D10" s="101" t="s">
        <v>199</v>
      </c>
      <c r="E10" s="101" t="s">
        <v>198</v>
      </c>
      <c r="F10" s="100" t="s">
        <v>197</v>
      </c>
      <c r="G10" s="100" t="s">
        <v>196</v>
      </c>
      <c r="H10" s="100" t="s">
        <v>195</v>
      </c>
      <c r="I10" s="100" t="s">
        <v>194</v>
      </c>
      <c r="J10" s="100" t="s">
        <v>212</v>
      </c>
      <c r="K10" s="102" t="s">
        <v>84</v>
      </c>
    </row>
    <row r="11" spans="1:11" ht="16.5" thickBot="1">
      <c r="A11" s="1" t="s">
        <v>1</v>
      </c>
      <c r="B11" s="106" t="s">
        <v>97</v>
      </c>
      <c r="C11" s="30">
        <f>'2011'!J11</f>
        <v>160.80000000000018</v>
      </c>
      <c r="D11" s="15">
        <f>'2012'!AB11</f>
        <v>774.22999999999911</v>
      </c>
      <c r="E11" s="103">
        <f>'2013'!AB11</f>
        <v>282.05999999999995</v>
      </c>
      <c r="F11" s="30">
        <f>'2014'!AB11</f>
        <v>-444.04000000000019</v>
      </c>
      <c r="G11" s="103">
        <f>'2015'!AC11</f>
        <v>-2.4000000019555046E-3</v>
      </c>
      <c r="H11" s="30">
        <f>'2016'!AB11</f>
        <v>2930.3963999999983</v>
      </c>
      <c r="I11" s="103">
        <f>'2017'!AB11</f>
        <v>-1956.9784000000013</v>
      </c>
      <c r="J11" s="111"/>
      <c r="K11" s="99">
        <f t="shared" ref="K11:K42" si="0">SUM(C11:J11)</f>
        <v>1746.4655999999941</v>
      </c>
    </row>
    <row r="12" spans="1:11" ht="16.5" thickBot="1">
      <c r="A12" s="1" t="s">
        <v>2</v>
      </c>
      <c r="B12" s="107" t="s">
        <v>98</v>
      </c>
      <c r="C12" s="104">
        <f>'2011'!J12</f>
        <v>465.08000000000004</v>
      </c>
      <c r="D12" s="109">
        <f>'2012'!AB12</f>
        <v>743.26999999999987</v>
      </c>
      <c r="E12" s="105">
        <f>'2013'!AB12</f>
        <v>-517.44999999999993</v>
      </c>
      <c r="F12" s="104">
        <f>'2014'!AB12</f>
        <v>-205.16999999999985</v>
      </c>
      <c r="G12" s="105">
        <f>'2015'!AC12</f>
        <v>606.52369999999951</v>
      </c>
      <c r="H12" s="104">
        <f>'2016'!AB12</f>
        <v>-799.16829999999936</v>
      </c>
      <c r="I12" s="105">
        <f>'2017'!AB12</f>
        <v>68.654800000001046</v>
      </c>
      <c r="J12" s="112"/>
      <c r="K12" s="42">
        <f t="shared" si="0"/>
        <v>361.74020000000144</v>
      </c>
    </row>
    <row r="13" spans="1:11" ht="16.5" thickBot="1">
      <c r="A13" s="1" t="s">
        <v>3</v>
      </c>
      <c r="B13" s="107" t="s">
        <v>99</v>
      </c>
      <c r="C13" s="104">
        <f>'2011'!J13</f>
        <v>147.15</v>
      </c>
      <c r="D13" s="109">
        <f>'2012'!AB13</f>
        <v>-340.67999999999995</v>
      </c>
      <c r="E13" s="105">
        <f>'2013'!AB13</f>
        <v>208.93</v>
      </c>
      <c r="F13" s="104">
        <f>'2014'!AB13</f>
        <v>169.20000000000005</v>
      </c>
      <c r="G13" s="105">
        <f>'2015'!AC13</f>
        <v>-8082.8139000000001</v>
      </c>
      <c r="H13" s="104">
        <f>'2016'!AB13</f>
        <v>460.4845000000002</v>
      </c>
      <c r="I13" s="105">
        <f>'2017'!AB13</f>
        <v>-187.61590000000018</v>
      </c>
      <c r="J13" s="112"/>
      <c r="K13" s="42">
        <f t="shared" si="0"/>
        <v>-7625.345299999999</v>
      </c>
    </row>
    <row r="14" spans="1:11" ht="16.5" thickBot="1">
      <c r="A14" s="48" t="s">
        <v>4</v>
      </c>
      <c r="B14" s="108" t="s">
        <v>100</v>
      </c>
      <c r="C14" s="126">
        <f>'2011'!J14</f>
        <v>2902.1500000000005</v>
      </c>
      <c r="D14" s="127">
        <f>'2012'!AB14</f>
        <v>902.38999999999987</v>
      </c>
      <c r="E14" s="128">
        <f>'2013'!AB14</f>
        <v>3091.6</v>
      </c>
      <c r="F14" s="126">
        <f>'2014'!AB14</f>
        <v>-3616.57</v>
      </c>
      <c r="G14" s="128">
        <f>'2015'!AC14</f>
        <v>0</v>
      </c>
      <c r="H14" s="126">
        <f>'2016'!AB14</f>
        <v>0</v>
      </c>
      <c r="I14" s="128">
        <f>'2017'!AB14</f>
        <v>0</v>
      </c>
      <c r="J14" s="113"/>
      <c r="K14" s="43">
        <f t="shared" si="0"/>
        <v>3279.57</v>
      </c>
    </row>
    <row r="15" spans="1:11" ht="16.5" thickBot="1">
      <c r="A15" s="48" t="s">
        <v>5</v>
      </c>
      <c r="B15" s="108" t="s">
        <v>217</v>
      </c>
      <c r="C15" s="126">
        <f>'2011'!J15</f>
        <v>36.43</v>
      </c>
      <c r="D15" s="127">
        <f>'2012'!AB15</f>
        <v>699.98</v>
      </c>
      <c r="E15" s="128">
        <f>'2013'!AB15</f>
        <v>1178.1599999999999</v>
      </c>
      <c r="F15" s="126">
        <f>'2014'!AB15</f>
        <v>-2031.17</v>
      </c>
      <c r="G15" s="128">
        <f>'2015'!AC15</f>
        <v>-2.2737367544323206E-12</v>
      </c>
      <c r="H15" s="126">
        <f>'2016'!AB15</f>
        <v>0</v>
      </c>
      <c r="I15" s="128">
        <f>'2017'!AB15</f>
        <v>0</v>
      </c>
      <c r="J15" s="114"/>
      <c r="K15" s="43">
        <f t="shared" si="0"/>
        <v>-116.60000000000264</v>
      </c>
    </row>
    <row r="16" spans="1:11" ht="16.5" thickBot="1">
      <c r="A16" s="1" t="s">
        <v>6</v>
      </c>
      <c r="B16" s="107" t="s">
        <v>101</v>
      </c>
      <c r="C16" s="104">
        <f>'2011'!J16</f>
        <v>153.69</v>
      </c>
      <c r="D16" s="109">
        <f>'2012'!AB16</f>
        <v>-1367.96</v>
      </c>
      <c r="E16" s="105">
        <f>'2013'!AB16</f>
        <v>1827.4200000000003</v>
      </c>
      <c r="F16" s="104">
        <f>'2014'!AB16</f>
        <v>-2749.16</v>
      </c>
      <c r="G16" s="105">
        <f>'2015'!AC16</f>
        <v>-1062.8572999999999</v>
      </c>
      <c r="H16" s="104">
        <f>'2016'!AB16</f>
        <v>1213.7196999999978</v>
      </c>
      <c r="I16" s="105">
        <f>'2017'!AB16</f>
        <v>8159.889000000001</v>
      </c>
      <c r="J16" s="112"/>
      <c r="K16" s="42">
        <f t="shared" si="0"/>
        <v>6174.7413999999999</v>
      </c>
    </row>
    <row r="17" spans="1:11" ht="16.5" thickBot="1">
      <c r="A17" s="1" t="s">
        <v>7</v>
      </c>
      <c r="B17" s="107" t="s">
        <v>102</v>
      </c>
      <c r="C17" s="104">
        <f>'2011'!J17</f>
        <v>1522.1800000000003</v>
      </c>
      <c r="D17" s="109">
        <f>'2012'!AB17</f>
        <v>-8858.6099999999988</v>
      </c>
      <c r="E17" s="105">
        <f>'2013'!AB17</f>
        <v>8254.31</v>
      </c>
      <c r="F17" s="104">
        <f>'2014'!AB17</f>
        <v>-3610.7299999999996</v>
      </c>
      <c r="G17" s="105">
        <f>'2015'!AC17</f>
        <v>5996.818299999999</v>
      </c>
      <c r="H17" s="104">
        <f>'2016'!AB17</f>
        <v>4126.7148000000007</v>
      </c>
      <c r="I17" s="105">
        <f>'2017'!AB17</f>
        <v>5995.9174000000085</v>
      </c>
      <c r="J17" s="112"/>
      <c r="K17" s="42">
        <f t="shared" si="0"/>
        <v>13426.60050000001</v>
      </c>
    </row>
    <row r="18" spans="1:11" ht="16.5" thickBot="1">
      <c r="A18" s="1" t="s">
        <v>8</v>
      </c>
      <c r="B18" s="107" t="s">
        <v>103</v>
      </c>
      <c r="C18" s="104">
        <f>'2011'!J18</f>
        <v>75.150000000000006</v>
      </c>
      <c r="D18" s="109">
        <f>'2012'!AB18</f>
        <v>0.5200000000000049</v>
      </c>
      <c r="E18" s="105">
        <f>'2013'!AB18</f>
        <v>552.49</v>
      </c>
      <c r="F18" s="104">
        <f>'2014'!AB18</f>
        <v>324.86999999999995</v>
      </c>
      <c r="G18" s="105">
        <f>'2015'!AC18</f>
        <v>-1301.9297000000001</v>
      </c>
      <c r="H18" s="104">
        <f>'2016'!AB18</f>
        <v>292.30989999999935</v>
      </c>
      <c r="I18" s="105">
        <f>'2017'!AB18</f>
        <v>180.86080000000035</v>
      </c>
      <c r="J18" s="112"/>
      <c r="K18" s="42">
        <f t="shared" si="0"/>
        <v>124.27099999999953</v>
      </c>
    </row>
    <row r="19" spans="1:11" ht="16.5" thickBot="1">
      <c r="A19" s="1" t="s">
        <v>9</v>
      </c>
      <c r="B19" s="107" t="s">
        <v>104</v>
      </c>
      <c r="C19" s="104">
        <f>'2011'!J19</f>
        <v>23.720000000000002</v>
      </c>
      <c r="D19" s="109">
        <f>'2012'!AB19</f>
        <v>-20.039999999999992</v>
      </c>
      <c r="E19" s="105">
        <f>'2013'!AB19</f>
        <v>178.20000000000019</v>
      </c>
      <c r="F19" s="104">
        <f>'2014'!AB19</f>
        <v>-85.639999999999873</v>
      </c>
      <c r="G19" s="105">
        <f>'2015'!AC19</f>
        <v>813.35329999999999</v>
      </c>
      <c r="H19" s="104">
        <f>'2016'!AB19</f>
        <v>-520.16860000000008</v>
      </c>
      <c r="I19" s="105">
        <f>'2017'!AB19</f>
        <v>422.27400000000029</v>
      </c>
      <c r="J19" s="112"/>
      <c r="K19" s="42">
        <f t="shared" si="0"/>
        <v>811.6987000000006</v>
      </c>
    </row>
    <row r="20" spans="1:11" ht="16.5" thickBot="1">
      <c r="A20" s="48" t="s">
        <v>10</v>
      </c>
      <c r="B20" s="108" t="s">
        <v>105</v>
      </c>
      <c r="C20" s="126">
        <f>'2011'!J20</f>
        <v>102.86999999999999</v>
      </c>
      <c r="D20" s="127">
        <f>'2012'!AB20</f>
        <v>-82.389999999999958</v>
      </c>
      <c r="E20" s="128">
        <f>'2013'!AB20</f>
        <v>120.89000000000016</v>
      </c>
      <c r="F20" s="126">
        <f>'2014'!AB20</f>
        <v>-403.06</v>
      </c>
      <c r="G20" s="128">
        <f>'2015'!AC20</f>
        <v>0</v>
      </c>
      <c r="H20" s="126">
        <f>'2016'!AB20</f>
        <v>0</v>
      </c>
      <c r="I20" s="128">
        <f>'2017'!AB20</f>
        <v>0</v>
      </c>
      <c r="J20" s="114"/>
      <c r="K20" s="43">
        <f t="shared" si="0"/>
        <v>-261.68999999999983</v>
      </c>
    </row>
    <row r="21" spans="1:11" ht="16.5" thickBot="1">
      <c r="A21" s="48" t="s">
        <v>11</v>
      </c>
      <c r="B21" s="108" t="s">
        <v>106</v>
      </c>
      <c r="C21" s="126">
        <f>'2011'!J21</f>
        <v>120.05000000000001</v>
      </c>
      <c r="D21" s="127">
        <f>'2012'!AB21</f>
        <v>-481.12999999999994</v>
      </c>
      <c r="E21" s="128">
        <f>'2013'!AB21</f>
        <v>-115.96000000000015</v>
      </c>
      <c r="F21" s="126">
        <f>'2014'!AB21</f>
        <v>395.92</v>
      </c>
      <c r="G21" s="128">
        <f>'2015'!AC21</f>
        <v>0</v>
      </c>
      <c r="H21" s="126">
        <f>'2016'!AB21</f>
        <v>0</v>
      </c>
      <c r="I21" s="128">
        <f>'2017'!AB21</f>
        <v>0</v>
      </c>
      <c r="J21" s="114"/>
      <c r="K21" s="43">
        <f t="shared" si="0"/>
        <v>-81.120000000000061</v>
      </c>
    </row>
    <row r="22" spans="1:11" ht="16.5" thickBot="1">
      <c r="A22" s="1" t="s">
        <v>12</v>
      </c>
      <c r="B22" s="107" t="s">
        <v>107</v>
      </c>
      <c r="C22" s="104">
        <f>'2011'!J22</f>
        <v>358.63</v>
      </c>
      <c r="D22" s="109">
        <f>'2012'!AB22</f>
        <v>99.749999999999986</v>
      </c>
      <c r="E22" s="105">
        <f>'2013'!AB22</f>
        <v>1564.27</v>
      </c>
      <c r="F22" s="104">
        <f>'2014'!AB22</f>
        <v>1200.7900000000004</v>
      </c>
      <c r="G22" s="105">
        <f>'2015'!AC22</f>
        <v>-2885.9039999999986</v>
      </c>
      <c r="H22" s="104">
        <f>'2016'!AB22</f>
        <v>-1.300000000583168E-3</v>
      </c>
      <c r="I22" s="105">
        <f>'2017'!AB22</f>
        <v>3274.2138999999997</v>
      </c>
      <c r="J22" s="112"/>
      <c r="K22" s="42">
        <f t="shared" si="0"/>
        <v>3611.7486000000008</v>
      </c>
    </row>
    <row r="23" spans="1:11" ht="16.5" thickBot="1">
      <c r="A23" s="1" t="s">
        <v>13</v>
      </c>
      <c r="B23" s="107" t="s">
        <v>108</v>
      </c>
      <c r="C23" s="104">
        <f>'2011'!J23</f>
        <v>174.07000000000002</v>
      </c>
      <c r="D23" s="109">
        <f>'2012'!AB23</f>
        <v>64.910000000000366</v>
      </c>
      <c r="E23" s="105">
        <f>'2013'!AB23</f>
        <v>91.729999999999961</v>
      </c>
      <c r="F23" s="104">
        <f>'2014'!AB23</f>
        <v>-132.08999999999961</v>
      </c>
      <c r="G23" s="105">
        <f>'2015'!AC23</f>
        <v>-271.46190000000058</v>
      </c>
      <c r="H23" s="104">
        <f>'2016'!AB23</f>
        <v>3774.5934000000025</v>
      </c>
      <c r="I23" s="105">
        <f>'2017'!AB23</f>
        <v>-3701.7577000000024</v>
      </c>
      <c r="J23" s="112"/>
      <c r="K23" s="42">
        <f t="shared" si="0"/>
        <v>-6.1999999998079147E-3</v>
      </c>
    </row>
    <row r="24" spans="1:11" ht="16.5" thickBot="1">
      <c r="A24" s="1" t="s">
        <v>14</v>
      </c>
      <c r="B24" s="107" t="s">
        <v>109</v>
      </c>
      <c r="C24" s="104">
        <f>'2011'!J24</f>
        <v>-9.9999999999909051E-3</v>
      </c>
      <c r="D24" s="109">
        <f>'2012'!AB24</f>
        <v>1053.1199999999985</v>
      </c>
      <c r="E24" s="105">
        <f>'2013'!AB24</f>
        <v>-387.05000000000018</v>
      </c>
      <c r="F24" s="104">
        <f>'2014'!AB24</f>
        <v>-314.68000000000052</v>
      </c>
      <c r="G24" s="105">
        <f>'2015'!AC24</f>
        <v>248.76579999999944</v>
      </c>
      <c r="H24" s="104">
        <f>'2016'!AB24</f>
        <v>-248.76450000000818</v>
      </c>
      <c r="I24" s="105">
        <f>'2017'!AB24</f>
        <v>8.0999999944992851E-3</v>
      </c>
      <c r="J24" s="112"/>
      <c r="K24" s="42">
        <f t="shared" si="0"/>
        <v>351.3893999999836</v>
      </c>
    </row>
    <row r="25" spans="1:11" ht="16.5" thickBot="1">
      <c r="A25" s="48" t="s">
        <v>15</v>
      </c>
      <c r="B25" s="108" t="s">
        <v>110</v>
      </c>
      <c r="C25" s="126">
        <f>'2011'!J25</f>
        <v>947.25</v>
      </c>
      <c r="D25" s="127">
        <f>'2012'!AB25</f>
        <v>6568.4500000000007</v>
      </c>
      <c r="E25" s="128">
        <f>'2013'!AB25</f>
        <v>-6000.9600000000009</v>
      </c>
      <c r="F25" s="126">
        <f>'2014'!AB25</f>
        <v>2254.3000000000002</v>
      </c>
      <c r="G25" s="128">
        <f>'2015'!AC25</f>
        <v>-4103.08</v>
      </c>
      <c r="H25" s="126">
        <f>'2016'!AB25</f>
        <v>0</v>
      </c>
      <c r="I25" s="128">
        <f>'2017'!AB25</f>
        <v>0</v>
      </c>
      <c r="J25" s="114"/>
      <c r="K25" s="43">
        <f t="shared" si="0"/>
        <v>-334.03999999999996</v>
      </c>
    </row>
    <row r="26" spans="1:11" ht="16.5" thickBot="1">
      <c r="A26" s="1" t="s">
        <v>16</v>
      </c>
      <c r="B26" s="107" t="s">
        <v>111</v>
      </c>
      <c r="C26" s="104">
        <f>'2011'!J26</f>
        <v>9.15</v>
      </c>
      <c r="D26" s="109">
        <f>'2012'!AB26</f>
        <v>450.03</v>
      </c>
      <c r="E26" s="105">
        <f>'2013'!AB26</f>
        <v>67.570000000000022</v>
      </c>
      <c r="F26" s="104">
        <f>'2014'!AB26</f>
        <v>2963.6800000000003</v>
      </c>
      <c r="G26" s="105">
        <f>'2015'!AC26</f>
        <v>302.80420000000004</v>
      </c>
      <c r="H26" s="104">
        <f>'2016'!AB26</f>
        <v>430.32330000000053</v>
      </c>
      <c r="I26" s="105">
        <f>'2017'!AB26</f>
        <v>156.6386</v>
      </c>
      <c r="J26" s="112"/>
      <c r="K26" s="42">
        <f t="shared" si="0"/>
        <v>4380.196100000001</v>
      </c>
    </row>
    <row r="27" spans="1:11" ht="16.5" thickBot="1">
      <c r="A27" s="1" t="s">
        <v>17</v>
      </c>
      <c r="B27" s="107" t="s">
        <v>216</v>
      </c>
      <c r="C27" s="104">
        <f>'2011'!J27</f>
        <v>557.95000000000005</v>
      </c>
      <c r="D27" s="109">
        <f>'2012'!AB27</f>
        <v>133.49</v>
      </c>
      <c r="E27" s="105">
        <f>'2013'!AB27</f>
        <v>1276.0600000000004</v>
      </c>
      <c r="F27" s="104">
        <f>'2014'!AB27</f>
        <v>161.80999999999995</v>
      </c>
      <c r="G27" s="105">
        <f>'2015'!AC27</f>
        <v>-2873.3027999999999</v>
      </c>
      <c r="H27" s="104">
        <f>'2016'!AB27</f>
        <v>124.25699999999951</v>
      </c>
      <c r="I27" s="105">
        <f>'2017'!AB27</f>
        <v>50.905800000000163</v>
      </c>
      <c r="J27" s="112"/>
      <c r="K27" s="42">
        <f t="shared" si="0"/>
        <v>-568.82999999999993</v>
      </c>
    </row>
    <row r="28" spans="1:11" ht="16.5" thickBot="1">
      <c r="A28" s="1" t="s">
        <v>18</v>
      </c>
      <c r="B28" s="107" t="s">
        <v>113</v>
      </c>
      <c r="C28" s="104">
        <f>'2011'!J28</f>
        <v>16.739999999999998</v>
      </c>
      <c r="D28" s="109">
        <f>'2012'!AB28</f>
        <v>-606.16999999999996</v>
      </c>
      <c r="E28" s="105">
        <f>'2013'!AB28</f>
        <v>-73.939999999999941</v>
      </c>
      <c r="F28" s="104">
        <f>'2014'!AB28</f>
        <v>-42.990000000000023</v>
      </c>
      <c r="G28" s="105">
        <f>'2015'!AC28</f>
        <v>-131.80250000000058</v>
      </c>
      <c r="H28" s="104">
        <f>'2016'!AB28</f>
        <v>878.77280000000019</v>
      </c>
      <c r="I28" s="105">
        <f>'2017'!AB28</f>
        <v>116.05509999999958</v>
      </c>
      <c r="J28" s="112"/>
      <c r="K28" s="42">
        <f t="shared" si="0"/>
        <v>156.66539999999929</v>
      </c>
    </row>
    <row r="29" spans="1:11" ht="16.5" thickBot="1">
      <c r="A29" s="1" t="s">
        <v>19</v>
      </c>
      <c r="B29" s="107" t="s">
        <v>114</v>
      </c>
      <c r="C29" s="104">
        <f>'2011'!J29</f>
        <v>250.82</v>
      </c>
      <c r="D29" s="109">
        <f>'2012'!AB29</f>
        <v>274.43000000000006</v>
      </c>
      <c r="E29" s="105">
        <f>'2013'!AB29</f>
        <v>-255.55999999999995</v>
      </c>
      <c r="F29" s="104">
        <f>'2014'!AB29</f>
        <v>0</v>
      </c>
      <c r="G29" s="105">
        <f>'2015'!AC29</f>
        <v>-2.7999999988423951E-3</v>
      </c>
      <c r="H29" s="104">
        <f>'2016'!AB29</f>
        <v>-1.0000000001468834E-2</v>
      </c>
      <c r="I29" s="105">
        <f>'2017'!AB29</f>
        <v>-269.6811000000007</v>
      </c>
      <c r="J29" s="112"/>
      <c r="K29" s="42">
        <f t="shared" si="0"/>
        <v>-3.9000000009536961E-3</v>
      </c>
    </row>
    <row r="30" spans="1:11" ht="16.5" thickBot="1">
      <c r="A30" s="48" t="s">
        <v>20</v>
      </c>
      <c r="B30" s="108" t="s">
        <v>181</v>
      </c>
      <c r="C30" s="126">
        <f>'2011'!J30</f>
        <v>1789.8600000000001</v>
      </c>
      <c r="D30" s="127">
        <f>'2012'!AB30</f>
        <v>11749.359999999999</v>
      </c>
      <c r="E30" s="128">
        <f>'2013'!AB30</f>
        <v>-3591.920000000001</v>
      </c>
      <c r="F30" s="126">
        <f>'2014'!AB30</f>
        <v>-3758.71</v>
      </c>
      <c r="G30" s="128">
        <f>'2015'!AC30</f>
        <v>0</v>
      </c>
      <c r="H30" s="126">
        <f>'2016'!AB30</f>
        <v>0</v>
      </c>
      <c r="I30" s="128">
        <f>'2017'!AB30</f>
        <v>0</v>
      </c>
      <c r="J30" s="114"/>
      <c r="K30" s="43">
        <f t="shared" si="0"/>
        <v>6188.5899999999992</v>
      </c>
    </row>
    <row r="31" spans="1:11" ht="16.5" thickBot="1">
      <c r="A31" s="1" t="s">
        <v>21</v>
      </c>
      <c r="B31" s="107" t="s">
        <v>115</v>
      </c>
      <c r="C31" s="104">
        <f>'2011'!J31</f>
        <v>83.240000000000009</v>
      </c>
      <c r="D31" s="109">
        <f>'2012'!AB31</f>
        <v>-7781.58</v>
      </c>
      <c r="E31" s="105">
        <f>'2013'!AB31</f>
        <v>-485.25000000000011</v>
      </c>
      <c r="F31" s="104">
        <f>'2014'!AB31</f>
        <v>320.32000000000005</v>
      </c>
      <c r="G31" s="105">
        <f>'2015'!AC31</f>
        <v>1403.2297000000012</v>
      </c>
      <c r="H31" s="104">
        <f>'2016'!AB31</f>
        <v>18.963200000003102</v>
      </c>
      <c r="I31" s="105">
        <f>'2017'!AB31</f>
        <v>-1862.5092000000002</v>
      </c>
      <c r="J31" s="112"/>
      <c r="K31" s="42">
        <f t="shared" si="0"/>
        <v>-8303.5862999999954</v>
      </c>
    </row>
    <row r="32" spans="1:11" ht="16.5" thickBot="1">
      <c r="A32" s="1" t="s">
        <v>22</v>
      </c>
      <c r="B32" s="107" t="s">
        <v>201</v>
      </c>
      <c r="C32" s="104">
        <f>'2011'!J32</f>
        <v>14.02</v>
      </c>
      <c r="D32" s="109">
        <f>'2012'!AB32</f>
        <v>90.96999999999997</v>
      </c>
      <c r="E32" s="105">
        <f>'2013'!AB32</f>
        <v>-61.490000000000066</v>
      </c>
      <c r="F32" s="104">
        <f>'2014'!AB32</f>
        <v>-43.500000000000057</v>
      </c>
      <c r="G32" s="105">
        <f>'2015'!AC32</f>
        <v>-1217.2169999999999</v>
      </c>
      <c r="H32" s="104">
        <f>'2016'!AB32</f>
        <v>13.8217</v>
      </c>
      <c r="I32" s="105">
        <f>'2017'!AB32</f>
        <v>1035.8949000000002</v>
      </c>
      <c r="J32" s="112"/>
      <c r="K32" s="42">
        <f t="shared" si="0"/>
        <v>-167.5003999999999</v>
      </c>
    </row>
    <row r="33" spans="1:11" ht="16.5" thickBot="1">
      <c r="A33" s="1" t="s">
        <v>23</v>
      </c>
      <c r="B33" s="107" t="s">
        <v>117</v>
      </c>
      <c r="C33" s="104">
        <f>'2011'!J33</f>
        <v>463.21999999999997</v>
      </c>
      <c r="D33" s="109">
        <f>'2012'!AB33</f>
        <v>1671.3899999999999</v>
      </c>
      <c r="E33" s="105">
        <f>'2013'!AB33</f>
        <v>4625.4199999999992</v>
      </c>
      <c r="F33" s="104">
        <f>'2014'!AB33</f>
        <v>-6759.3499999999985</v>
      </c>
      <c r="G33" s="105">
        <f>'2015'!AC33</f>
        <v>8270.3633000000009</v>
      </c>
      <c r="H33" s="104">
        <f>'2016'!AB33</f>
        <v>-9797.8472999999994</v>
      </c>
      <c r="I33" s="105">
        <f>'2017'!AB33</f>
        <v>-52.676499999997375</v>
      </c>
      <c r="J33" s="112"/>
      <c r="K33" s="42">
        <f t="shared" si="0"/>
        <v>-1579.4804999999956</v>
      </c>
    </row>
    <row r="34" spans="1:11" ht="16.5" thickBot="1">
      <c r="A34" s="1" t="s">
        <v>24</v>
      </c>
      <c r="B34" s="107" t="s">
        <v>118</v>
      </c>
      <c r="C34" s="104">
        <f>'2011'!J34</f>
        <v>63.430000000000007</v>
      </c>
      <c r="D34" s="109">
        <f>'2012'!AB34</f>
        <v>-10.509999999999957</v>
      </c>
      <c r="E34" s="105">
        <f>'2013'!AB34</f>
        <v>677.06000000000006</v>
      </c>
      <c r="F34" s="104">
        <f>'2014'!AB34</f>
        <v>1081.74</v>
      </c>
      <c r="G34" s="105">
        <f>'2015'!AC34</f>
        <v>1633.4493999999997</v>
      </c>
      <c r="H34" s="104">
        <f>'2016'!AB34</f>
        <v>707.65099999999995</v>
      </c>
      <c r="I34" s="105">
        <f>'2017'!AB34</f>
        <v>-3133.8928999999989</v>
      </c>
      <c r="J34" s="112"/>
      <c r="K34" s="42">
        <f t="shared" si="0"/>
        <v>1018.9275000000007</v>
      </c>
    </row>
    <row r="35" spans="1:11" ht="16.5" thickBot="1">
      <c r="A35" s="1" t="s">
        <v>25</v>
      </c>
      <c r="B35" s="107" t="s">
        <v>119</v>
      </c>
      <c r="C35" s="104">
        <f>'2011'!J35</f>
        <v>0</v>
      </c>
      <c r="D35" s="109">
        <f>'2012'!AB35</f>
        <v>-1.0036416142611415E-13</v>
      </c>
      <c r="E35" s="105">
        <f>'2013'!AB35</f>
        <v>0</v>
      </c>
      <c r="F35" s="104">
        <f>'2014'!AB35</f>
        <v>332.68999999999977</v>
      </c>
      <c r="G35" s="105">
        <f>'2015'!AC35</f>
        <v>119.81850000000014</v>
      </c>
      <c r="H35" s="104">
        <f>'2016'!AB35</f>
        <v>-813.98399999999901</v>
      </c>
      <c r="I35" s="105">
        <f>'2017'!AB35</f>
        <v>374.49679999999944</v>
      </c>
      <c r="J35" s="112"/>
      <c r="K35" s="49">
        <f t="shared" si="0"/>
        <v>13.021300000000224</v>
      </c>
    </row>
    <row r="36" spans="1:11" ht="16.5" thickBot="1">
      <c r="A36" s="1" t="s">
        <v>193</v>
      </c>
      <c r="B36" s="107" t="s">
        <v>192</v>
      </c>
      <c r="C36" s="104">
        <f>'2011'!J36</f>
        <v>0</v>
      </c>
      <c r="D36" s="109">
        <f>'2012'!AB36</f>
        <v>-1.5454304502782179E-13</v>
      </c>
      <c r="E36" s="105">
        <f>'2013'!AB36</f>
        <v>0</v>
      </c>
      <c r="F36" s="104">
        <f>'2014'!AB36</f>
        <v>0</v>
      </c>
      <c r="G36" s="105">
        <f>'2015'!AC36</f>
        <v>388.85190000000011</v>
      </c>
      <c r="H36" s="104">
        <f>'2016'!AB36</f>
        <v>262.91660000000036</v>
      </c>
      <c r="I36" s="105">
        <f>'2017'!AB36</f>
        <v>-651.7651000000003</v>
      </c>
      <c r="J36" s="112"/>
      <c r="K36" s="42">
        <f t="shared" si="0"/>
        <v>3.4000000000560249E-3</v>
      </c>
    </row>
    <row r="37" spans="1:11" ht="16.5" thickBot="1">
      <c r="A37" s="1" t="s">
        <v>26</v>
      </c>
      <c r="B37" s="107" t="s">
        <v>120</v>
      </c>
      <c r="C37" s="104">
        <f>'2011'!J37</f>
        <v>14.41</v>
      </c>
      <c r="D37" s="109">
        <f>'2012'!AB37</f>
        <v>-551.66</v>
      </c>
      <c r="E37" s="105">
        <f>'2013'!AB37</f>
        <v>-92.719999999999956</v>
      </c>
      <c r="F37" s="104">
        <f>'2014'!AB37</f>
        <v>-144.92999999999981</v>
      </c>
      <c r="G37" s="105">
        <f>'2015'!AC37</f>
        <v>836.88319999999976</v>
      </c>
      <c r="H37" s="104">
        <f>'2016'!AB37</f>
        <v>305.94149999999973</v>
      </c>
      <c r="I37" s="105">
        <f>'2017'!AB37</f>
        <v>-329.45869999999923</v>
      </c>
      <c r="J37" s="112"/>
      <c r="K37" s="42">
        <f t="shared" si="0"/>
        <v>38.46600000000052</v>
      </c>
    </row>
    <row r="38" spans="1:11" ht="16.5" thickBot="1">
      <c r="A38" s="1" t="s">
        <v>27</v>
      </c>
      <c r="B38" s="107" t="s">
        <v>121</v>
      </c>
      <c r="C38" s="104">
        <f>'2011'!J38</f>
        <v>12.56</v>
      </c>
      <c r="D38" s="109">
        <f>'2012'!AB38</f>
        <v>425.96999999999997</v>
      </c>
      <c r="E38" s="105">
        <f>'2013'!AB38</f>
        <v>-152.58000000000001</v>
      </c>
      <c r="F38" s="104">
        <f>'2014'!AB38</f>
        <v>-507.93</v>
      </c>
      <c r="G38" s="105">
        <f>'2015'!AC38</f>
        <v>517.14580000000012</v>
      </c>
      <c r="H38" s="104">
        <f>'2016'!AB38</f>
        <v>-240.27189999999985</v>
      </c>
      <c r="I38" s="105">
        <f>'2017'!AB38</f>
        <v>9.8929999999999687</v>
      </c>
      <c r="J38" s="112"/>
      <c r="K38" s="42">
        <f t="shared" si="0"/>
        <v>64.786900000000173</v>
      </c>
    </row>
    <row r="39" spans="1:11" ht="16.5" thickBot="1">
      <c r="A39" s="1" t="s">
        <v>28</v>
      </c>
      <c r="B39" s="107" t="s">
        <v>122</v>
      </c>
      <c r="C39" s="104">
        <f>'2011'!J39</f>
        <v>22.64</v>
      </c>
      <c r="D39" s="109">
        <f>'2012'!AB39</f>
        <v>-9.4699999999999989</v>
      </c>
      <c r="E39" s="105">
        <f>'2013'!AB39</f>
        <v>214.21999999999997</v>
      </c>
      <c r="F39" s="104">
        <f>'2014'!AB39</f>
        <v>-225.82</v>
      </c>
      <c r="G39" s="105">
        <f>'2015'!AC39</f>
        <v>-2.5894999999999531</v>
      </c>
      <c r="H39" s="104">
        <f>'2016'!AB39</f>
        <v>284.84279999999995</v>
      </c>
      <c r="I39" s="105">
        <f>'2017'!AB39</f>
        <v>-277.7457</v>
      </c>
      <c r="J39" s="112"/>
      <c r="K39" s="42">
        <f t="shared" si="0"/>
        <v>6.0776000000000181</v>
      </c>
    </row>
    <row r="40" spans="1:11" ht="16.5" thickBot="1">
      <c r="A40" s="1" t="s">
        <v>29</v>
      </c>
      <c r="B40" s="107" t="s">
        <v>123</v>
      </c>
      <c r="C40" s="104">
        <f>'2011'!J40</f>
        <v>193.92</v>
      </c>
      <c r="D40" s="109">
        <f>'2012'!AB40</f>
        <v>62.849999999999966</v>
      </c>
      <c r="E40" s="105">
        <f>'2013'!AB40</f>
        <v>-271.2000000000001</v>
      </c>
      <c r="F40" s="104">
        <f>'2014'!AB40</f>
        <v>-24.209999999999809</v>
      </c>
      <c r="G40" s="105">
        <f>'2015'!AC40</f>
        <v>575.08379999999897</v>
      </c>
      <c r="H40" s="104">
        <f>'2016'!AB40</f>
        <v>77.318600000003471</v>
      </c>
      <c r="I40" s="105">
        <f>'2017'!AB40</f>
        <v>-613.76430000000255</v>
      </c>
      <c r="J40" s="112"/>
      <c r="K40" s="42">
        <f t="shared" si="0"/>
        <v>-1.8999999999778083E-3</v>
      </c>
    </row>
    <row r="41" spans="1:11" ht="16.5" thickBot="1">
      <c r="A41" s="48" t="s">
        <v>30</v>
      </c>
      <c r="B41" s="108" t="s">
        <v>124</v>
      </c>
      <c r="C41" s="126">
        <f>'2011'!J41</f>
        <v>16.899999999999999</v>
      </c>
      <c r="D41" s="127">
        <f>'2012'!AB41</f>
        <v>-190.41000000000003</v>
      </c>
      <c r="E41" s="128">
        <f>'2013'!AB41</f>
        <v>173.51</v>
      </c>
      <c r="F41" s="126">
        <f>'2014'!AB41</f>
        <v>0</v>
      </c>
      <c r="G41" s="128">
        <f>'2015'!AC41</f>
        <v>-348.99610000000035</v>
      </c>
      <c r="H41" s="126">
        <f>'2016'!AB41</f>
        <v>0</v>
      </c>
      <c r="I41" s="128">
        <f>'2017'!AB41</f>
        <v>0</v>
      </c>
      <c r="J41" s="114"/>
      <c r="K41" s="43">
        <f t="shared" si="0"/>
        <v>-348.99610000000041</v>
      </c>
    </row>
    <row r="42" spans="1:11" ht="16.5" thickBot="1">
      <c r="A42" s="1" t="s">
        <v>31</v>
      </c>
      <c r="B42" s="107" t="s">
        <v>125</v>
      </c>
      <c r="C42" s="104">
        <f>'2011'!J42</f>
        <v>1690.09</v>
      </c>
      <c r="D42" s="109">
        <f>'2012'!AB42</f>
        <v>-1774.7299999999996</v>
      </c>
      <c r="E42" s="105">
        <f>'2013'!AB42</f>
        <v>620.65999999999985</v>
      </c>
      <c r="F42" s="104">
        <f>'2014'!AB42</f>
        <v>-1368.0700000000004</v>
      </c>
      <c r="G42" s="105">
        <f>'2015'!AC42</f>
        <v>301.19060000000013</v>
      </c>
      <c r="H42" s="104">
        <f>'2016'!AB42</f>
        <v>-1380.5704000000017</v>
      </c>
      <c r="I42" s="105">
        <f>'2017'!AB42</f>
        <v>2328.2758999999996</v>
      </c>
      <c r="J42" s="112"/>
      <c r="K42" s="42">
        <f t="shared" si="0"/>
        <v>416.84609999999793</v>
      </c>
    </row>
    <row r="43" spans="1:11" ht="16.5" thickBot="1">
      <c r="A43" s="1" t="s">
        <v>32</v>
      </c>
      <c r="B43" s="107" t="s">
        <v>126</v>
      </c>
      <c r="C43" s="104">
        <f>'2011'!J43</f>
        <v>731.75000000000011</v>
      </c>
      <c r="D43" s="109">
        <f>'2012'!AB43</f>
        <v>-714.76999999999987</v>
      </c>
      <c r="E43" s="105">
        <f>'2013'!AB43</f>
        <v>-7.410000000000025</v>
      </c>
      <c r="F43" s="104">
        <f>'2014'!AB43</f>
        <v>0.12000000000029054</v>
      </c>
      <c r="G43" s="105">
        <f>'2015'!AC43</f>
        <v>14.869500000000773</v>
      </c>
      <c r="H43" s="104">
        <f>'2016'!AB43</f>
        <v>-24.626200000001091</v>
      </c>
      <c r="I43" s="105">
        <f>'2017'!AB43</f>
        <v>547.10989999999879</v>
      </c>
      <c r="J43" s="112"/>
      <c r="K43" s="42">
        <f t="shared" ref="K43:K74" si="1">SUM(C43:J43)</f>
        <v>547.04319999999893</v>
      </c>
    </row>
    <row r="44" spans="1:11" ht="16.5" thickBot="1">
      <c r="A44" s="48" t="s">
        <v>33</v>
      </c>
      <c r="B44" s="108" t="s">
        <v>127</v>
      </c>
      <c r="C44" s="126">
        <f>'2011'!J44</f>
        <v>1342.33</v>
      </c>
      <c r="D44" s="127">
        <f>'2012'!AB44</f>
        <v>-2679.9300000000003</v>
      </c>
      <c r="E44" s="128">
        <f>'2013'!AB44</f>
        <v>0.35999999999967258</v>
      </c>
      <c r="F44" s="126">
        <f>'2014'!AB44</f>
        <v>0.23000000000001819</v>
      </c>
      <c r="G44" s="128">
        <f>'2015'!AC44</f>
        <v>0</v>
      </c>
      <c r="H44" s="126">
        <f>'2016'!AB44</f>
        <v>0</v>
      </c>
      <c r="I44" s="128">
        <f>'2017'!AB44</f>
        <v>0</v>
      </c>
      <c r="J44" s="114"/>
      <c r="K44" s="43">
        <f t="shared" si="1"/>
        <v>-1337.0100000000007</v>
      </c>
    </row>
    <row r="45" spans="1:11" ht="16.5" thickBot="1">
      <c r="A45" s="1" t="s">
        <v>34</v>
      </c>
      <c r="B45" s="107" t="s">
        <v>128</v>
      </c>
      <c r="C45" s="104">
        <f>'2011'!J45</f>
        <v>6902.89</v>
      </c>
      <c r="D45" s="109">
        <f>'2012'!AB45</f>
        <v>-182.52000000000044</v>
      </c>
      <c r="E45" s="105">
        <f>'2013'!AB45</f>
        <v>13527.170000000002</v>
      </c>
      <c r="F45" s="104">
        <f>'2014'!AB45</f>
        <v>-19698.75</v>
      </c>
      <c r="G45" s="105">
        <f>'2015'!AC45</f>
        <v>-3297.637400000016</v>
      </c>
      <c r="H45" s="104">
        <f>'2016'!AB45</f>
        <v>8579.9158999999963</v>
      </c>
      <c r="I45" s="105">
        <f>'2017'!AB45</f>
        <v>-5831.0878000000012</v>
      </c>
      <c r="J45" s="112"/>
      <c r="K45" s="42">
        <f t="shared" si="1"/>
        <v>-1.9300000019939034E-2</v>
      </c>
    </row>
    <row r="46" spans="1:11" ht="16.5" thickBot="1">
      <c r="A46" s="1" t="s">
        <v>191</v>
      </c>
      <c r="B46" s="107" t="s">
        <v>190</v>
      </c>
      <c r="C46" s="104">
        <f>'2011'!J46</f>
        <v>193.60999999999999</v>
      </c>
      <c r="D46" s="109">
        <f>'2012'!AB46</f>
        <v>1361.5299999999997</v>
      </c>
      <c r="E46" s="105">
        <f>'2013'!AB46</f>
        <v>2034.9000000000003</v>
      </c>
      <c r="F46" s="104">
        <f>'2014'!AB46</f>
        <v>-52.14</v>
      </c>
      <c r="G46" s="105">
        <f>'2015'!AC46</f>
        <v>-5105.2015000000019</v>
      </c>
      <c r="H46" s="104">
        <f>'2016'!AB46</f>
        <v>-392.76520000000096</v>
      </c>
      <c r="I46" s="105">
        <f>'2017'!AB46</f>
        <v>2282.9428000000003</v>
      </c>
      <c r="J46" s="112"/>
      <c r="K46" s="42">
        <f t="shared" si="1"/>
        <v>322.87609999999745</v>
      </c>
    </row>
    <row r="47" spans="1:11" ht="16.5" thickBot="1">
      <c r="A47" s="1" t="s">
        <v>35</v>
      </c>
      <c r="B47" s="107" t="s">
        <v>189</v>
      </c>
      <c r="C47" s="104">
        <f>'2011'!J47</f>
        <v>1.05</v>
      </c>
      <c r="D47" s="109">
        <f>'2012'!AB47</f>
        <v>5.1099999999999994</v>
      </c>
      <c r="E47" s="105">
        <f>'2013'!AB47</f>
        <v>-491.83000000000004</v>
      </c>
      <c r="F47" s="104">
        <f>'2014'!AB47</f>
        <v>-375.85</v>
      </c>
      <c r="G47" s="105">
        <f>'2015'!AC47</f>
        <v>612.46149999999989</v>
      </c>
      <c r="H47" s="104">
        <f>'2016'!AB47</f>
        <v>-433.67380000000003</v>
      </c>
      <c r="I47" s="105">
        <f>'2017'!AB47</f>
        <v>40.318800000000039</v>
      </c>
      <c r="J47" s="112"/>
      <c r="K47" s="42">
        <f t="shared" si="1"/>
        <v>-642.41350000000011</v>
      </c>
    </row>
    <row r="48" spans="1:11" ht="16.5" thickBot="1">
      <c r="A48" s="1" t="s">
        <v>36</v>
      </c>
      <c r="B48" s="107" t="s">
        <v>172</v>
      </c>
      <c r="C48" s="104">
        <f>'2011'!J48</f>
        <v>584.87</v>
      </c>
      <c r="D48" s="109">
        <f>'2012'!AB48</f>
        <v>-4760.3499999999995</v>
      </c>
      <c r="E48" s="105">
        <f>'2013'!AB48</f>
        <v>3521.21</v>
      </c>
      <c r="F48" s="104">
        <f>'2014'!AB48</f>
        <v>48239.74</v>
      </c>
      <c r="G48" s="105">
        <f>'2015'!AC48</f>
        <v>-54126.365800000021</v>
      </c>
      <c r="H48" s="104">
        <f>'2016'!AB48</f>
        <v>-997.20429999999578</v>
      </c>
      <c r="I48" s="105">
        <f>'2017'!AB48</f>
        <v>-91.299000000007709</v>
      </c>
      <c r="J48" s="112"/>
      <c r="K48" s="42">
        <f t="shared" si="1"/>
        <v>-7629.3991000000242</v>
      </c>
    </row>
    <row r="49" spans="1:11" ht="16.5" thickBot="1">
      <c r="A49" s="1" t="s">
        <v>37</v>
      </c>
      <c r="B49" s="107" t="s">
        <v>129</v>
      </c>
      <c r="C49" s="104">
        <f>'2011'!J49</f>
        <v>305.28000000000003</v>
      </c>
      <c r="D49" s="109">
        <f>'2012'!AB49</f>
        <v>-446.53000000000003</v>
      </c>
      <c r="E49" s="105">
        <f>'2013'!AB49</f>
        <v>-97.13</v>
      </c>
      <c r="F49" s="104">
        <f>'2014'!AB49</f>
        <v>12.809999999999945</v>
      </c>
      <c r="G49" s="105">
        <f>'2015'!AC49</f>
        <v>-54.10110000000109</v>
      </c>
      <c r="H49" s="104">
        <f>'2016'!AB49</f>
        <v>-408.17730000000023</v>
      </c>
      <c r="I49" s="105">
        <f>'2017'!AB49</f>
        <v>195.69299999999873</v>
      </c>
      <c r="J49" s="112"/>
      <c r="K49" s="42">
        <f t="shared" si="1"/>
        <v>-492.15540000000271</v>
      </c>
    </row>
    <row r="50" spans="1:11" ht="16.5" thickBot="1">
      <c r="A50" s="1" t="s">
        <v>38</v>
      </c>
      <c r="B50" s="107" t="s">
        <v>130</v>
      </c>
      <c r="C50" s="104">
        <f>'2011'!J50</f>
        <v>0.75</v>
      </c>
      <c r="D50" s="109">
        <f>'2012'!AB50</f>
        <v>92.739999999999768</v>
      </c>
      <c r="E50" s="105">
        <f>'2013'!AB50</f>
        <v>228.39</v>
      </c>
      <c r="F50" s="104">
        <f>'2014'!AB50</f>
        <v>0</v>
      </c>
      <c r="G50" s="105">
        <f>'2015'!AC50</f>
        <v>-1465.0530999999999</v>
      </c>
      <c r="H50" s="104">
        <f>'2016'!AB50</f>
        <v>41.632400000000025</v>
      </c>
      <c r="I50" s="105">
        <f>'2017'!AB50</f>
        <v>0.11599999999989449</v>
      </c>
      <c r="J50" s="112"/>
      <c r="K50" s="42">
        <f t="shared" si="1"/>
        <v>-1101.4247</v>
      </c>
    </row>
    <row r="51" spans="1:11" ht="16.5" thickBot="1">
      <c r="A51" s="1" t="s">
        <v>39</v>
      </c>
      <c r="B51" s="107" t="s">
        <v>131</v>
      </c>
      <c r="C51" s="104">
        <f>'2011'!J51</f>
        <v>7.6400000000000006</v>
      </c>
      <c r="D51" s="109">
        <f>'2012'!AB51</f>
        <v>28.400000000000006</v>
      </c>
      <c r="E51" s="105">
        <f>'2013'!AB51</f>
        <v>31.940000000000005</v>
      </c>
      <c r="F51" s="104">
        <f>'2014'!AB51</f>
        <v>36.099999999999994</v>
      </c>
      <c r="G51" s="105">
        <f>'2015'!AC51</f>
        <v>40.682200000000016</v>
      </c>
      <c r="H51" s="104">
        <f>'2016'!AB51</f>
        <v>42.792000000000044</v>
      </c>
      <c r="I51" s="105">
        <f>'2017'!AB51</f>
        <v>44.979900000000043</v>
      </c>
      <c r="J51" s="112"/>
      <c r="K51" s="42">
        <f t="shared" si="1"/>
        <v>232.53410000000014</v>
      </c>
    </row>
    <row r="52" spans="1:11" ht="16.5" thickBot="1">
      <c r="A52" s="1" t="s">
        <v>40</v>
      </c>
      <c r="B52" s="107" t="s">
        <v>132</v>
      </c>
      <c r="C52" s="104">
        <f>'2011'!J52</f>
        <v>9.9400000000000013</v>
      </c>
      <c r="D52" s="109">
        <f>'2012'!AB52</f>
        <v>-3143.9099999999994</v>
      </c>
      <c r="E52" s="105">
        <f>'2013'!AB52</f>
        <v>-514.44000000000165</v>
      </c>
      <c r="F52" s="104">
        <f>'2014'!AB52</f>
        <v>915.80999999999949</v>
      </c>
      <c r="G52" s="105">
        <f>'2015'!AC52</f>
        <v>250.27169999999865</v>
      </c>
      <c r="H52" s="104">
        <f>'2016'!AB52</f>
        <v>-386.81759999999946</v>
      </c>
      <c r="I52" s="105">
        <f>'2017'!AB52</f>
        <v>-644.25140000000147</v>
      </c>
      <c r="J52" s="112"/>
      <c r="K52" s="42">
        <f t="shared" si="1"/>
        <v>-3513.3973000000037</v>
      </c>
    </row>
    <row r="53" spans="1:11" ht="16.5" thickBot="1">
      <c r="A53" s="1" t="s">
        <v>41</v>
      </c>
      <c r="B53" s="107" t="s">
        <v>133</v>
      </c>
      <c r="C53" s="104">
        <f>'2011'!J53</f>
        <v>1800.68</v>
      </c>
      <c r="D53" s="109">
        <f>'2012'!AB53</f>
        <v>-343.35</v>
      </c>
      <c r="E53" s="105">
        <f>'2013'!AB53</f>
        <v>2022.1999999999998</v>
      </c>
      <c r="F53" s="104">
        <f>'2014'!AB53</f>
        <v>-3031.33</v>
      </c>
      <c r="G53" s="105">
        <f>'2015'!AC53</f>
        <v>2766.3739000000032</v>
      </c>
      <c r="H53" s="104">
        <f>'2016'!AB53</f>
        <v>-2717.5789000000077</v>
      </c>
      <c r="I53" s="105">
        <f>'2017'!AB53</f>
        <v>-3048.9494000000013</v>
      </c>
      <c r="J53" s="112"/>
      <c r="K53" s="42">
        <f t="shared" si="1"/>
        <v>-2551.954400000006</v>
      </c>
    </row>
    <row r="54" spans="1:11" ht="16.5" thickBot="1">
      <c r="A54" s="1" t="s">
        <v>42</v>
      </c>
      <c r="B54" s="107" t="s">
        <v>189</v>
      </c>
      <c r="C54" s="104">
        <f>'2011'!J54</f>
        <v>676.99</v>
      </c>
      <c r="D54" s="109">
        <f>'2012'!AB54</f>
        <v>970.28999999999928</v>
      </c>
      <c r="E54" s="105">
        <f>'2013'!AB54</f>
        <v>-1589.8799999999994</v>
      </c>
      <c r="F54" s="104">
        <f>'2014'!AB54</f>
        <v>4039.1000000000004</v>
      </c>
      <c r="G54" s="105">
        <f>'2015'!AC54</f>
        <v>-6188.2914000000028</v>
      </c>
      <c r="H54" s="104">
        <f>'2016'!AB54</f>
        <v>2644.0491000000075</v>
      </c>
      <c r="I54" s="105">
        <f>'2017'!AB54</f>
        <v>1572.0095999999958</v>
      </c>
      <c r="J54" s="112"/>
      <c r="K54" s="42">
        <f t="shared" si="1"/>
        <v>2124.2673000000004</v>
      </c>
    </row>
    <row r="55" spans="1:11" ht="16.5" thickBot="1">
      <c r="A55" s="1" t="s">
        <v>43</v>
      </c>
      <c r="B55" s="107" t="s">
        <v>214</v>
      </c>
      <c r="C55" s="104">
        <f>'2011'!J55</f>
        <v>1.9500000000000002</v>
      </c>
      <c r="D55" s="109">
        <f>'2012'!AB55</f>
        <v>-504.65</v>
      </c>
      <c r="E55" s="105">
        <f>'2013'!AB55</f>
        <v>-280.47000000000014</v>
      </c>
      <c r="F55" s="104">
        <f>'2014'!AB55</f>
        <v>5.7300000000001043</v>
      </c>
      <c r="G55" s="105">
        <f>'2015'!AC55</f>
        <v>6.278100000000193</v>
      </c>
      <c r="H55" s="104">
        <f>'2016'!AB55</f>
        <v>-103.49779999999953</v>
      </c>
      <c r="I55" s="105">
        <f>'2017'!AB55</f>
        <v>4.7166999999999248</v>
      </c>
      <c r="J55" s="112"/>
      <c r="K55" s="42">
        <f t="shared" si="1"/>
        <v>-869.9429999999993</v>
      </c>
    </row>
    <row r="56" spans="1:11" ht="16.5" thickBot="1">
      <c r="A56" s="48" t="s">
        <v>44</v>
      </c>
      <c r="B56" s="108" t="s">
        <v>136</v>
      </c>
      <c r="C56" s="126">
        <f>'2011'!J56</f>
        <v>72.09</v>
      </c>
      <c r="D56" s="127">
        <f>'2012'!AB56</f>
        <v>-507.46</v>
      </c>
      <c r="E56" s="128">
        <f>'2013'!AB56</f>
        <v>376.90000000000009</v>
      </c>
      <c r="F56" s="126">
        <f>'2014'!AB56</f>
        <v>-160.2399999999999</v>
      </c>
      <c r="G56" s="128">
        <f>'2015'!AC56</f>
        <v>-380</v>
      </c>
      <c r="H56" s="126">
        <f>'2016'!AB56</f>
        <v>0</v>
      </c>
      <c r="I56" s="128">
        <f>'2017'!AB56</f>
        <v>0</v>
      </c>
      <c r="J56" s="114"/>
      <c r="K56" s="43">
        <f t="shared" si="1"/>
        <v>-598.70999999999981</v>
      </c>
    </row>
    <row r="57" spans="1:11" ht="16.5" thickBot="1">
      <c r="A57" s="48" t="s">
        <v>45</v>
      </c>
      <c r="B57" s="108" t="s">
        <v>137</v>
      </c>
      <c r="C57" s="126">
        <f>'2011'!J57</f>
        <v>323.65999999999997</v>
      </c>
      <c r="D57" s="127">
        <f>'2012'!AB57</f>
        <v>546.4399999999996</v>
      </c>
      <c r="E57" s="128">
        <f>'2013'!AB57</f>
        <v>2.0299999999999998</v>
      </c>
      <c r="F57" s="126">
        <f>'2014'!AB57</f>
        <v>-871.81000000000017</v>
      </c>
      <c r="G57" s="128">
        <f>'2015'!AC57</f>
        <v>1.4421999999963191</v>
      </c>
      <c r="H57" s="126">
        <f>'2016'!AB57</f>
        <v>1274.3748000000026</v>
      </c>
      <c r="I57" s="128">
        <f>'2017'!AB57</f>
        <v>0</v>
      </c>
      <c r="J57" s="114"/>
      <c r="K57" s="43">
        <f t="shared" si="1"/>
        <v>1276.1369999999984</v>
      </c>
    </row>
    <row r="58" spans="1:11" ht="16.5" thickBot="1">
      <c r="A58" s="1" t="s">
        <v>46</v>
      </c>
      <c r="B58" s="107" t="s">
        <v>138</v>
      </c>
      <c r="C58" s="104">
        <f>'2011'!J58</f>
        <v>0</v>
      </c>
      <c r="D58" s="109">
        <f>'2012'!AB58</f>
        <v>304.02999999999997</v>
      </c>
      <c r="E58" s="105">
        <f>'2013'!AB58</f>
        <v>1.8200000000001637</v>
      </c>
      <c r="F58" s="104">
        <f>'2014'!AB58</f>
        <v>-304.59999999999968</v>
      </c>
      <c r="G58" s="105">
        <f>'2015'!AC58</f>
        <v>-1.2296999999997524</v>
      </c>
      <c r="H58" s="104">
        <f>'2016'!AB58</f>
        <v>-1246.5869000000007</v>
      </c>
      <c r="I58" s="105">
        <f>'2017'!AB58</f>
        <v>1524.9286000000018</v>
      </c>
      <c r="J58" s="112"/>
      <c r="K58" s="42">
        <f t="shared" si="1"/>
        <v>278.36200000000167</v>
      </c>
    </row>
    <row r="59" spans="1:11" ht="16.5" thickBot="1">
      <c r="A59" s="1" t="s">
        <v>47</v>
      </c>
      <c r="B59" s="107" t="s">
        <v>139</v>
      </c>
      <c r="C59" s="104">
        <f>'2011'!J59</f>
        <v>210.05</v>
      </c>
      <c r="D59" s="109">
        <f>'2012'!AB59</f>
        <v>2722.13</v>
      </c>
      <c r="E59" s="105">
        <f>'2013'!AB59</f>
        <v>447.25999999999988</v>
      </c>
      <c r="F59" s="104">
        <f>'2014'!AB59</f>
        <v>-934.91999999999928</v>
      </c>
      <c r="G59" s="105">
        <f>'2015'!AC59</f>
        <v>-2509.2826999999997</v>
      </c>
      <c r="H59" s="104">
        <f>'2016'!AB59</f>
        <v>2051.303199999998</v>
      </c>
      <c r="I59" s="105">
        <f>'2017'!AB59</f>
        <v>-2022.9212000000002</v>
      </c>
      <c r="J59" s="112"/>
      <c r="K59" s="42">
        <f t="shared" si="1"/>
        <v>-36.38070000000107</v>
      </c>
    </row>
    <row r="60" spans="1:11" ht="16.5" thickBot="1">
      <c r="A60" s="1" t="s">
        <v>48</v>
      </c>
      <c r="B60" s="107" t="s">
        <v>140</v>
      </c>
      <c r="C60" s="104">
        <f>'2011'!J60</f>
        <v>204.34</v>
      </c>
      <c r="D60" s="109">
        <f>'2012'!AB60</f>
        <v>-2583.29</v>
      </c>
      <c r="E60" s="105">
        <f>'2013'!AB60</f>
        <v>3263.62</v>
      </c>
      <c r="F60" s="104">
        <f>'2014'!AB60</f>
        <v>-2170.2000000000003</v>
      </c>
      <c r="G60" s="105">
        <f>'2015'!AC60</f>
        <v>-1076.0776999999985</v>
      </c>
      <c r="H60" s="104">
        <f>'2016'!AB60</f>
        <v>-88.186700000000769</v>
      </c>
      <c r="I60" s="105">
        <f>'2017'!AB60</f>
        <v>-1639.0032999999994</v>
      </c>
      <c r="J60" s="112"/>
      <c r="K60" s="42">
        <f t="shared" si="1"/>
        <v>-4088.7976999999987</v>
      </c>
    </row>
    <row r="61" spans="1:11" ht="16.5" thickBot="1">
      <c r="A61" s="1" t="s">
        <v>49</v>
      </c>
      <c r="B61" s="107" t="s">
        <v>141</v>
      </c>
      <c r="C61" s="104">
        <f>'2011'!J61</f>
        <v>0</v>
      </c>
      <c r="D61" s="109">
        <f>'2012'!AB61</f>
        <v>10.259999999999998</v>
      </c>
      <c r="E61" s="105">
        <f>'2013'!AB61</f>
        <v>-9.269999999999996</v>
      </c>
      <c r="F61" s="104">
        <f>'2014'!AB61</f>
        <v>51.16</v>
      </c>
      <c r="G61" s="105">
        <f>'2015'!AC61</f>
        <v>548.48130000000015</v>
      </c>
      <c r="H61" s="104">
        <f>'2016'!AB61</f>
        <v>-5722.7701000000006</v>
      </c>
      <c r="I61" s="105">
        <f>'2017'!AB61</f>
        <v>1948.3743000000002</v>
      </c>
      <c r="J61" s="112"/>
      <c r="K61" s="42">
        <f t="shared" si="1"/>
        <v>-3173.7645000000002</v>
      </c>
    </row>
    <row r="62" spans="1:11" ht="16.5" thickBot="1">
      <c r="A62" s="1" t="s">
        <v>50</v>
      </c>
      <c r="B62" s="107" t="s">
        <v>188</v>
      </c>
      <c r="C62" s="104">
        <f>'2011'!J62</f>
        <v>79.5</v>
      </c>
      <c r="D62" s="109">
        <f>'2012'!AB62</f>
        <v>-61.080000000000169</v>
      </c>
      <c r="E62" s="105">
        <f>'2013'!AB62</f>
        <v>31.510000000000083</v>
      </c>
      <c r="F62" s="104">
        <f>'2014'!AB62</f>
        <v>-53.960000000000072</v>
      </c>
      <c r="G62" s="105">
        <f>'2015'!AC62</f>
        <v>17.807399999999969</v>
      </c>
      <c r="H62" s="104">
        <f>'2016'!AB62</f>
        <v>455.21610000000015</v>
      </c>
      <c r="I62" s="105">
        <f>'2017'!AB62</f>
        <v>-473.05750000000108</v>
      </c>
      <c r="J62" s="112"/>
      <c r="K62" s="42">
        <f t="shared" si="1"/>
        <v>-4.0640000000011014</v>
      </c>
    </row>
    <row r="63" spans="1:11" ht="16.5" thickBot="1">
      <c r="A63" s="1" t="s">
        <v>51</v>
      </c>
      <c r="B63" s="107" t="s">
        <v>143</v>
      </c>
      <c r="C63" s="104">
        <f>'2011'!J63</f>
        <v>10.19</v>
      </c>
      <c r="D63" s="109">
        <f>'2012'!AB63</f>
        <v>-191.59</v>
      </c>
      <c r="E63" s="105">
        <f>'2013'!AB63</f>
        <v>71.329999999999984</v>
      </c>
      <c r="F63" s="104">
        <f>'2014'!AB63</f>
        <v>0</v>
      </c>
      <c r="G63" s="105">
        <f>'2015'!AC63</f>
        <v>0</v>
      </c>
      <c r="H63" s="104">
        <f>'2016'!AB63</f>
        <v>0</v>
      </c>
      <c r="I63" s="105">
        <f>'2017'!AB63</f>
        <v>36.889700000000083</v>
      </c>
      <c r="J63" s="112"/>
      <c r="K63" s="42">
        <f t="shared" si="1"/>
        <v>-73.180299999999932</v>
      </c>
    </row>
    <row r="64" spans="1:11" ht="16.5" thickBot="1">
      <c r="A64" s="48" t="s">
        <v>52</v>
      </c>
      <c r="B64" s="108" t="s">
        <v>144</v>
      </c>
      <c r="C64" s="126">
        <f>'2011'!J64</f>
        <v>0.23</v>
      </c>
      <c r="D64" s="127">
        <f>'2012'!AB64</f>
        <v>-155.19999999999993</v>
      </c>
      <c r="E64" s="128">
        <f>'2013'!AB64</f>
        <v>139.26999999999992</v>
      </c>
      <c r="F64" s="126">
        <f>'2014'!AB64</f>
        <v>-680.5</v>
      </c>
      <c r="G64" s="128">
        <f>'2015'!AC64</f>
        <v>0</v>
      </c>
      <c r="H64" s="126">
        <f>'2016'!AB64</f>
        <v>0</v>
      </c>
      <c r="I64" s="128">
        <f>'2017'!AB64</f>
        <v>0</v>
      </c>
      <c r="J64" s="114"/>
      <c r="K64" s="43">
        <f t="shared" si="1"/>
        <v>-696.2</v>
      </c>
    </row>
    <row r="65" spans="1:11" ht="16.5" thickBot="1">
      <c r="A65" s="48" t="s">
        <v>53</v>
      </c>
      <c r="B65" s="108" t="s">
        <v>148</v>
      </c>
      <c r="C65" s="126">
        <f>'2011'!J65</f>
        <v>0</v>
      </c>
      <c r="D65" s="127">
        <f>'2012'!AB65</f>
        <v>0</v>
      </c>
      <c r="E65" s="128">
        <f>'2013'!AB65</f>
        <v>1819.69</v>
      </c>
      <c r="F65" s="126">
        <f>'2014'!AB65</f>
        <v>-2555.66</v>
      </c>
      <c r="G65" s="128">
        <f>'2015'!AC65</f>
        <v>437.20150000000018</v>
      </c>
      <c r="H65" s="126">
        <f>'2016'!AB65</f>
        <v>422.38790000000006</v>
      </c>
      <c r="I65" s="128">
        <f>'2017'!AB65</f>
        <v>-1308.3126000000009</v>
      </c>
      <c r="J65" s="114"/>
      <c r="K65" s="43">
        <f t="shared" si="1"/>
        <v>-1184.6932000000004</v>
      </c>
    </row>
    <row r="66" spans="1:11" ht="16.5" thickBot="1">
      <c r="A66" s="1" t="s">
        <v>187</v>
      </c>
      <c r="B66" s="107" t="s">
        <v>145</v>
      </c>
      <c r="C66" s="104">
        <f>'2011'!J66</f>
        <v>9.56</v>
      </c>
      <c r="D66" s="109">
        <f>'2012'!AB66</f>
        <v>121.67</v>
      </c>
      <c r="E66" s="105">
        <f>'2013'!AB66</f>
        <v>-177.39</v>
      </c>
      <c r="F66" s="104">
        <f>'2014'!AB66</f>
        <v>278.09000000000003</v>
      </c>
      <c r="G66" s="105">
        <f>'2015'!AC66</f>
        <v>146.98610000000011</v>
      </c>
      <c r="H66" s="104">
        <f>'2016'!AB66</f>
        <v>482.15439999999973</v>
      </c>
      <c r="I66" s="105">
        <f>'2017'!AB66</f>
        <v>-462.81019999999995</v>
      </c>
      <c r="J66" s="112"/>
      <c r="K66" s="42">
        <f t="shared" si="1"/>
        <v>398.26029999999986</v>
      </c>
    </row>
    <row r="67" spans="1:11" ht="16.5" thickBot="1">
      <c r="A67" s="1" t="s">
        <v>54</v>
      </c>
      <c r="B67" s="107" t="s">
        <v>146</v>
      </c>
      <c r="C67" s="104">
        <f>'2011'!J67</f>
        <v>29.89</v>
      </c>
      <c r="D67" s="109">
        <f>'2012'!AB67</f>
        <v>-284.19</v>
      </c>
      <c r="E67" s="105">
        <f>'2013'!AB67</f>
        <v>1138.53</v>
      </c>
      <c r="F67" s="104">
        <f>'2014'!AB67</f>
        <v>1154.7700000000002</v>
      </c>
      <c r="G67" s="105">
        <f>'2015'!AC67</f>
        <v>-44.90880000000196</v>
      </c>
      <c r="H67" s="104">
        <f>'2016'!AB67</f>
        <v>-5402.8540000000012</v>
      </c>
      <c r="I67" s="105">
        <f>'2017'!AB67</f>
        <v>4504.3424999999997</v>
      </c>
      <c r="J67" s="112"/>
      <c r="K67" s="42">
        <f t="shared" si="1"/>
        <v>1095.5796999999966</v>
      </c>
    </row>
    <row r="68" spans="1:11" ht="16.5" thickBot="1">
      <c r="A68" s="1" t="s">
        <v>55</v>
      </c>
      <c r="B68" s="107" t="s">
        <v>147</v>
      </c>
      <c r="C68" s="104">
        <f>'2011'!J68</f>
        <v>7.82</v>
      </c>
      <c r="D68" s="109">
        <f>'2012'!AB68</f>
        <v>-540.44999999999993</v>
      </c>
      <c r="E68" s="105">
        <f>'2013'!AB68</f>
        <v>-112.24000000000002</v>
      </c>
      <c r="F68" s="104">
        <f>'2014'!AB68</f>
        <v>-902.15</v>
      </c>
      <c r="G68" s="105">
        <f>'2015'!AC68</f>
        <v>969.78590000000042</v>
      </c>
      <c r="H68" s="104">
        <f>'2016'!AB68</f>
        <v>-1140.1680000000001</v>
      </c>
      <c r="I68" s="105">
        <f>'2017'!AB68</f>
        <v>289.46320000000003</v>
      </c>
      <c r="J68" s="112"/>
      <c r="K68" s="42">
        <f t="shared" si="1"/>
        <v>-1427.9388999999996</v>
      </c>
    </row>
    <row r="69" spans="1:11" ht="16.5" thickBot="1">
      <c r="A69" s="1" t="s">
        <v>56</v>
      </c>
      <c r="B69" s="107" t="s">
        <v>148</v>
      </c>
      <c r="C69" s="104">
        <f>'2011'!J69</f>
        <v>76.88</v>
      </c>
      <c r="D69" s="109">
        <f>'2012'!AB69</f>
        <v>736.78000000000009</v>
      </c>
      <c r="E69" s="105">
        <f>'2013'!AB69</f>
        <v>278.54000000000008</v>
      </c>
      <c r="F69" s="104">
        <f>'2014'!AB69</f>
        <v>734.84</v>
      </c>
      <c r="G69" s="105">
        <f>'2015'!AC69</f>
        <v>1625.1185999999998</v>
      </c>
      <c r="H69" s="104">
        <f>'2016'!AB69</f>
        <v>-128.03179999999972</v>
      </c>
      <c r="I69" s="105">
        <f>'2017'!AB69</f>
        <v>-395.63350000000025</v>
      </c>
      <c r="J69" s="130">
        <v>-1184.69</v>
      </c>
      <c r="K69" s="42">
        <f t="shared" si="1"/>
        <v>1743.8033</v>
      </c>
    </row>
    <row r="70" spans="1:11" ht="16.5" thickBot="1">
      <c r="A70" s="1" t="s">
        <v>57</v>
      </c>
      <c r="B70" s="107" t="s">
        <v>150</v>
      </c>
      <c r="C70" s="104">
        <f>'2011'!J70</f>
        <v>53.21</v>
      </c>
      <c r="D70" s="109">
        <f>'2012'!AB70</f>
        <v>669.21000000000015</v>
      </c>
      <c r="E70" s="105">
        <f>'2013'!AB70</f>
        <v>3.2700000000000502</v>
      </c>
      <c r="F70" s="104">
        <f>'2014'!AB70</f>
        <v>-113.21000000000008</v>
      </c>
      <c r="G70" s="105">
        <f>'2015'!AC70</f>
        <v>-477.17739999999986</v>
      </c>
      <c r="H70" s="104">
        <f>'2016'!AB70</f>
        <v>-719.18249999999955</v>
      </c>
      <c r="I70" s="105">
        <f>'2017'!AB70</f>
        <v>157.89430000000016</v>
      </c>
      <c r="J70" s="112"/>
      <c r="K70" s="42">
        <f t="shared" si="1"/>
        <v>-425.98559999999907</v>
      </c>
    </row>
    <row r="71" spans="1:11" ht="16.5" thickBot="1">
      <c r="A71" s="1" t="s">
        <v>58</v>
      </c>
      <c r="B71" s="107" t="s">
        <v>149</v>
      </c>
      <c r="C71" s="104">
        <f>'2011'!J71</f>
        <v>9.6499999999999986</v>
      </c>
      <c r="D71" s="109">
        <f>'2012'!AB71</f>
        <v>-56.199999999999982</v>
      </c>
      <c r="E71" s="105">
        <f>'2013'!AB71</f>
        <v>-222.29999999999998</v>
      </c>
      <c r="F71" s="104">
        <f>'2014'!AB71</f>
        <v>-72.370000000000061</v>
      </c>
      <c r="G71" s="105">
        <f>'2015'!AC71</f>
        <v>-676.04650000000004</v>
      </c>
      <c r="H71" s="104">
        <f>'2016'!AB71</f>
        <v>-104.44479999999993</v>
      </c>
      <c r="I71" s="105">
        <f>'2017'!AB71</f>
        <v>81.131999999999991</v>
      </c>
      <c r="J71" s="112"/>
      <c r="K71" s="42">
        <f t="shared" si="1"/>
        <v>-1040.5792999999999</v>
      </c>
    </row>
    <row r="72" spans="1:11" ht="16.5" thickBot="1">
      <c r="A72" s="1" t="s">
        <v>59</v>
      </c>
      <c r="B72" s="107" t="s">
        <v>151</v>
      </c>
      <c r="C72" s="104">
        <f>'2011'!J72</f>
        <v>36.74</v>
      </c>
      <c r="D72" s="109">
        <f>'2012'!AB72</f>
        <v>151.13</v>
      </c>
      <c r="E72" s="105">
        <f>'2013'!AB72</f>
        <v>-61.599999999999994</v>
      </c>
      <c r="F72" s="104">
        <f>'2014'!AB72</f>
        <v>208.74999999999997</v>
      </c>
      <c r="G72" s="105">
        <f>'2015'!AC72</f>
        <v>192.80350000000007</v>
      </c>
      <c r="H72" s="104">
        <f>'2016'!AB72</f>
        <v>-511.07920000000024</v>
      </c>
      <c r="I72" s="105">
        <f>'2017'!AB72</f>
        <v>187.4616000000002</v>
      </c>
      <c r="J72" s="112"/>
      <c r="K72" s="42">
        <f t="shared" si="1"/>
        <v>204.20590000000004</v>
      </c>
    </row>
    <row r="73" spans="1:11" ht="16.5" thickBot="1">
      <c r="A73" s="1" t="s">
        <v>60</v>
      </c>
      <c r="B73" s="107" t="s">
        <v>152</v>
      </c>
      <c r="C73" s="104">
        <f>'2011'!J73</f>
        <v>74.72</v>
      </c>
      <c r="D73" s="109">
        <f>'2012'!AB73</f>
        <v>6.8300000000000445</v>
      </c>
      <c r="E73" s="105">
        <f>'2013'!AB73</f>
        <v>-926.85</v>
      </c>
      <c r="F73" s="104">
        <f>'2014'!AB73</f>
        <v>319.86</v>
      </c>
      <c r="G73" s="105">
        <f>'2015'!AC73</f>
        <v>-197.67759999999998</v>
      </c>
      <c r="H73" s="104">
        <f>'2016'!AB73</f>
        <v>162.453</v>
      </c>
      <c r="I73" s="105">
        <f>'2017'!AB73</f>
        <v>357.67140000000023</v>
      </c>
      <c r="J73" s="112"/>
      <c r="K73" s="42">
        <f t="shared" si="1"/>
        <v>-202.99319999999972</v>
      </c>
    </row>
    <row r="74" spans="1:11" ht="16.5" thickBot="1">
      <c r="A74" s="1" t="s">
        <v>61</v>
      </c>
      <c r="B74" s="107" t="s">
        <v>153</v>
      </c>
      <c r="C74" s="104">
        <f>'2011'!J74</f>
        <v>3.9600000000000004</v>
      </c>
      <c r="D74" s="109">
        <f>'2012'!AB74</f>
        <v>-632.87999999999988</v>
      </c>
      <c r="E74" s="105">
        <f>'2013'!AB74</f>
        <v>-889.31</v>
      </c>
      <c r="F74" s="104">
        <f>'2014'!AB74</f>
        <v>-436.96</v>
      </c>
      <c r="G74" s="105">
        <f>'2015'!AC74</f>
        <v>137.65070000000065</v>
      </c>
      <c r="H74" s="104">
        <f>'2016'!AB74</f>
        <v>1790.868099999999</v>
      </c>
      <c r="I74" s="105">
        <f>'2017'!AB74</f>
        <v>330.59940000000057</v>
      </c>
      <c r="J74" s="112"/>
      <c r="K74" s="42">
        <f t="shared" si="1"/>
        <v>303.92820000000034</v>
      </c>
    </row>
    <row r="75" spans="1:11" ht="16.5" thickBot="1">
      <c r="A75" s="1" t="s">
        <v>62</v>
      </c>
      <c r="B75" s="107" t="s">
        <v>154</v>
      </c>
      <c r="C75" s="104">
        <f>'2011'!J75</f>
        <v>332.12</v>
      </c>
      <c r="D75" s="109">
        <f>'2012'!AB75</f>
        <v>-145.86000000000001</v>
      </c>
      <c r="E75" s="105">
        <f>'2013'!AB75</f>
        <v>323.76</v>
      </c>
      <c r="F75" s="104">
        <f>'2014'!AB75</f>
        <v>-188.59999999999991</v>
      </c>
      <c r="G75" s="105">
        <f>'2015'!AC75</f>
        <v>-125.01459999999918</v>
      </c>
      <c r="H75" s="104">
        <f>'2016'!AB75</f>
        <v>-305.17620000000062</v>
      </c>
      <c r="I75" s="105">
        <f>'2017'!AB75</f>
        <v>-1502.9669000000006</v>
      </c>
      <c r="J75" s="112"/>
      <c r="K75" s="42">
        <f t="shared" ref="K75:K100" si="2">SUM(C75:J75)</f>
        <v>-1611.7377000000004</v>
      </c>
    </row>
    <row r="76" spans="1:11" ht="16.5" thickBot="1">
      <c r="A76" s="48" t="s">
        <v>63</v>
      </c>
      <c r="B76" s="108" t="s">
        <v>173</v>
      </c>
      <c r="C76" s="126">
        <f>'2011'!J76</f>
        <v>201.39</v>
      </c>
      <c r="D76" s="127">
        <f>'2012'!AB76</f>
        <v>-2445.2300000000005</v>
      </c>
      <c r="E76" s="128">
        <f>'2013'!AB76</f>
        <v>-1261.04</v>
      </c>
      <c r="F76" s="126">
        <f>'2014'!AB76</f>
        <v>-1670.56</v>
      </c>
      <c r="G76" s="128">
        <f>'2015'!AC76</f>
        <v>-42.22</v>
      </c>
      <c r="H76" s="126">
        <f>'2016'!AB76</f>
        <v>0</v>
      </c>
      <c r="I76" s="128">
        <f>'2017'!AB76</f>
        <v>0</v>
      </c>
      <c r="J76" s="114"/>
      <c r="K76" s="43">
        <f t="shared" si="2"/>
        <v>-5217.6600000000008</v>
      </c>
    </row>
    <row r="77" spans="1:11" ht="16.5" thickBot="1">
      <c r="A77" s="48" t="s">
        <v>186</v>
      </c>
      <c r="B77" s="108" t="s">
        <v>173</v>
      </c>
      <c r="C77" s="126">
        <f>'2011'!J77</f>
        <v>1154.67</v>
      </c>
      <c r="D77" s="127">
        <f>'2012'!AB77</f>
        <v>428.45000000000005</v>
      </c>
      <c r="E77" s="128">
        <f>'2013'!AB77</f>
        <v>372.24</v>
      </c>
      <c r="F77" s="126">
        <f>'2014'!AB77</f>
        <v>1404.4499999999998</v>
      </c>
      <c r="G77" s="128">
        <f>'2015'!AC77</f>
        <v>0</v>
      </c>
      <c r="H77" s="126">
        <f>'2016'!AB77</f>
        <v>0</v>
      </c>
      <c r="I77" s="128">
        <f>'2017'!AB77</f>
        <v>0</v>
      </c>
      <c r="J77" s="114"/>
      <c r="K77" s="43">
        <f t="shared" si="2"/>
        <v>3359.81</v>
      </c>
    </row>
    <row r="78" spans="1:11" ht="16.5" thickBot="1">
      <c r="A78" s="1" t="s">
        <v>64</v>
      </c>
      <c r="B78" s="107" t="s">
        <v>174</v>
      </c>
      <c r="C78" s="104">
        <f>'2011'!J78</f>
        <v>1923.8999999999999</v>
      </c>
      <c r="D78" s="109">
        <f>'2012'!AB78</f>
        <v>-363.29000000000053</v>
      </c>
      <c r="E78" s="105">
        <f>'2013'!AB78</f>
        <v>-3443.7500000000009</v>
      </c>
      <c r="F78" s="104">
        <f>'2014'!AB78</f>
        <v>-3237.45</v>
      </c>
      <c r="G78" s="105">
        <f>'2015'!AC78</f>
        <v>-1805.0187999999964</v>
      </c>
      <c r="H78" s="104">
        <f>'2016'!AB78</f>
        <v>4489.2850999999919</v>
      </c>
      <c r="I78" s="105">
        <f>'2017'!AB78</f>
        <v>-6827.2882999999993</v>
      </c>
      <c r="J78" s="112"/>
      <c r="K78" s="42">
        <f t="shared" si="2"/>
        <v>-9263.6120000000046</v>
      </c>
    </row>
    <row r="79" spans="1:11" ht="16.5" thickBot="1">
      <c r="A79" s="1" t="s">
        <v>185</v>
      </c>
      <c r="B79" s="107" t="s">
        <v>174</v>
      </c>
      <c r="C79" s="104">
        <f>'2011'!J79</f>
        <v>324.79000000000002</v>
      </c>
      <c r="D79" s="109">
        <f>'2012'!AB79</f>
        <v>1410.62</v>
      </c>
      <c r="E79" s="105">
        <f>'2013'!AB79</f>
        <v>1660.7999999999997</v>
      </c>
      <c r="F79" s="104">
        <f>'2014'!AB79</f>
        <v>1707.64</v>
      </c>
      <c r="G79" s="105">
        <f>'2015'!AC79</f>
        <v>1874.9547000000007</v>
      </c>
      <c r="H79" s="104">
        <f>'2016'!AB79</f>
        <v>-1085.3486</v>
      </c>
      <c r="I79" s="105">
        <f>'2017'!AB79</f>
        <v>2300.0703999999982</v>
      </c>
      <c r="J79" s="112"/>
      <c r="K79" s="42">
        <f t="shared" si="2"/>
        <v>8193.5264999999981</v>
      </c>
    </row>
    <row r="80" spans="1:11" ht="16.5" thickBot="1">
      <c r="A80" s="1" t="s">
        <v>65</v>
      </c>
      <c r="B80" s="107" t="s">
        <v>175</v>
      </c>
      <c r="C80" s="104">
        <f>'2011'!J80</f>
        <v>20.470000000000002</v>
      </c>
      <c r="D80" s="109">
        <f>'2012'!AB80</f>
        <v>-25.590000000000007</v>
      </c>
      <c r="E80" s="105">
        <f>'2013'!AB80</f>
        <v>278.47000000000003</v>
      </c>
      <c r="F80" s="104">
        <f>'2014'!AB80</f>
        <v>-188.41</v>
      </c>
      <c r="G80" s="105">
        <f>'2015'!AC80</f>
        <v>302.9307</v>
      </c>
      <c r="H80" s="104">
        <f>'2016'!AB80</f>
        <v>-546.11150000000009</v>
      </c>
      <c r="I80" s="105">
        <f>'2017'!AB80</f>
        <v>10.502399999999978</v>
      </c>
      <c r="J80" s="112"/>
      <c r="K80" s="42">
        <f t="shared" si="2"/>
        <v>-147.73840000000007</v>
      </c>
    </row>
    <row r="81" spans="1:11" ht="16.5" thickBot="1">
      <c r="A81" s="48" t="s">
        <v>66</v>
      </c>
      <c r="B81" s="108" t="s">
        <v>176</v>
      </c>
      <c r="C81" s="126">
        <f>'2011'!J81</f>
        <v>1237.33</v>
      </c>
      <c r="D81" s="127">
        <f>'2012'!AB81</f>
        <v>1504.8800000000003</v>
      </c>
      <c r="E81" s="128">
        <f>'2013'!AB81</f>
        <v>2159.1999999999998</v>
      </c>
      <c r="F81" s="126">
        <f>'2014'!AB81</f>
        <v>-1800.15</v>
      </c>
      <c r="G81" s="128">
        <f>'2015'!AC81</f>
        <v>0</v>
      </c>
      <c r="H81" s="126">
        <f>'2016'!AB81</f>
        <v>0</v>
      </c>
      <c r="I81" s="128">
        <f>'2017'!AB81</f>
        <v>0</v>
      </c>
      <c r="J81" s="114"/>
      <c r="K81" s="43">
        <f t="shared" si="2"/>
        <v>3101.2599999999998</v>
      </c>
    </row>
    <row r="82" spans="1:11" ht="16.5" thickBot="1">
      <c r="A82" s="1" t="s">
        <v>67</v>
      </c>
      <c r="B82" s="107" t="s">
        <v>177</v>
      </c>
      <c r="C82" s="104">
        <f>'2011'!J82</f>
        <v>-1131.67</v>
      </c>
      <c r="D82" s="109">
        <f>'2012'!AB82</f>
        <v>-35.870000000000026</v>
      </c>
      <c r="E82" s="105">
        <f>'2013'!AB82</f>
        <v>-617.61</v>
      </c>
      <c r="F82" s="104">
        <f>'2014'!AB82</f>
        <v>204.25999999999985</v>
      </c>
      <c r="G82" s="105">
        <f>'2015'!AC82</f>
        <v>-47.52760000000081</v>
      </c>
      <c r="H82" s="104">
        <f>'2016'!AB82</f>
        <v>-47.185500000000417</v>
      </c>
      <c r="I82" s="105">
        <f>'2017'!AB82</f>
        <v>117.10630000000094</v>
      </c>
      <c r="J82" s="112"/>
      <c r="K82" s="42">
        <f t="shared" si="2"/>
        <v>-1558.4968000000008</v>
      </c>
    </row>
    <row r="83" spans="1:11" ht="16.5" thickBot="1">
      <c r="A83" s="1" t="s">
        <v>68</v>
      </c>
      <c r="B83" s="107" t="s">
        <v>178</v>
      </c>
      <c r="C83" s="104">
        <f>'2011'!J83</f>
        <v>0</v>
      </c>
      <c r="D83" s="109">
        <f>'2012'!AB83</f>
        <v>-882.5100000000001</v>
      </c>
      <c r="E83" s="105">
        <f>'2013'!AB83</f>
        <v>726.60000000000014</v>
      </c>
      <c r="F83" s="104">
        <f>'2014'!AB83</f>
        <v>-902.87000000000012</v>
      </c>
      <c r="G83" s="105">
        <f>'2015'!AC83</f>
        <v>870.75620000000004</v>
      </c>
      <c r="H83" s="104">
        <f>'2016'!AB83</f>
        <v>-327.03870000000006</v>
      </c>
      <c r="I83" s="105">
        <f>'2017'!AB83</f>
        <v>792.54739999999845</v>
      </c>
      <c r="J83" s="112"/>
      <c r="K83" s="42">
        <f t="shared" si="2"/>
        <v>277.48489999999822</v>
      </c>
    </row>
    <row r="84" spans="1:11" ht="16.5" thickBot="1">
      <c r="A84" s="1" t="s">
        <v>184</v>
      </c>
      <c r="B84" s="107" t="s">
        <v>183</v>
      </c>
      <c r="C84" s="104">
        <f>'2011'!J84</f>
        <v>1.0900000000000001</v>
      </c>
      <c r="D84" s="109">
        <f>'2012'!AB84</f>
        <v>52.909999999999989</v>
      </c>
      <c r="E84" s="105">
        <f>'2013'!AB84</f>
        <v>46.639999999999993</v>
      </c>
      <c r="F84" s="104">
        <f>'2014'!AB84</f>
        <v>91.35</v>
      </c>
      <c r="G84" s="105">
        <f>'2015'!AC84</f>
        <v>47.68269999999999</v>
      </c>
      <c r="H84" s="104">
        <f>'2016'!AB84</f>
        <v>628.20619999999997</v>
      </c>
      <c r="I84" s="105">
        <f>'2017'!AB84</f>
        <v>1193.3017000000004</v>
      </c>
      <c r="J84" s="112"/>
      <c r="K84" s="42">
        <f t="shared" si="2"/>
        <v>2061.1806000000006</v>
      </c>
    </row>
    <row r="85" spans="1:11" ht="16.5" thickBot="1">
      <c r="A85" s="48" t="s">
        <v>69</v>
      </c>
      <c r="B85" s="108" t="s">
        <v>155</v>
      </c>
      <c r="C85" s="126">
        <f>'2011'!J85</f>
        <v>62.08</v>
      </c>
      <c r="D85" s="127">
        <f>'2012'!AB85</f>
        <v>-189.06000000000006</v>
      </c>
      <c r="E85" s="128">
        <f>'2013'!AB85</f>
        <v>162.93</v>
      </c>
      <c r="F85" s="126">
        <f>'2014'!AB85</f>
        <v>-122.90999999999997</v>
      </c>
      <c r="G85" s="128">
        <f>'2015'!AC85</f>
        <v>0</v>
      </c>
      <c r="H85" s="126">
        <f>'2016'!AB85</f>
        <v>0</v>
      </c>
      <c r="I85" s="128">
        <f>'2017'!AB85</f>
        <v>0</v>
      </c>
      <c r="J85" s="114"/>
      <c r="K85" s="43">
        <f t="shared" si="2"/>
        <v>-86.960000000000022</v>
      </c>
    </row>
    <row r="86" spans="1:11" ht="16.5" thickBot="1">
      <c r="A86" s="1" t="s">
        <v>70</v>
      </c>
      <c r="B86" s="107" t="s">
        <v>156</v>
      </c>
      <c r="C86" s="104">
        <f>'2011'!J86</f>
        <v>27.509999999999998</v>
      </c>
      <c r="D86" s="109">
        <f>'2012'!AB86</f>
        <v>876.24</v>
      </c>
      <c r="E86" s="105">
        <f>'2013'!AB86</f>
        <v>-313.44000000000011</v>
      </c>
      <c r="F86" s="104">
        <f>'2014'!AB86</f>
        <v>-244.65999999999971</v>
      </c>
      <c r="G86" s="105">
        <f>'2015'!AC86</f>
        <v>-528.98369999999954</v>
      </c>
      <c r="H86" s="104">
        <f>'2016'!AB86</f>
        <v>1790.6624999999997</v>
      </c>
      <c r="I86" s="105">
        <f>'2017'!AB86</f>
        <v>-815.77350000000104</v>
      </c>
      <c r="J86" s="112"/>
      <c r="K86" s="42">
        <f t="shared" si="2"/>
        <v>791.55529999999919</v>
      </c>
    </row>
    <row r="87" spans="1:11" ht="16.5" thickBot="1">
      <c r="A87" s="1" t="s">
        <v>71</v>
      </c>
      <c r="B87" s="107" t="s">
        <v>157</v>
      </c>
      <c r="C87" s="104">
        <f>'2011'!J87</f>
        <v>32.130000000000003</v>
      </c>
      <c r="D87" s="109">
        <f>'2012'!AB87</f>
        <v>-509.99000000000035</v>
      </c>
      <c r="E87" s="105">
        <f>'2013'!AB87</f>
        <v>753.4</v>
      </c>
      <c r="F87" s="104">
        <f>'2014'!AB87</f>
        <v>216.35999999999967</v>
      </c>
      <c r="G87" s="105">
        <f>'2015'!AC87</f>
        <v>1133.1900000000003</v>
      </c>
      <c r="H87" s="104">
        <f>'2016'!AB87</f>
        <v>-199.79270000000247</v>
      </c>
      <c r="I87" s="105">
        <f>'2017'!AB87</f>
        <v>-1425.2988999999975</v>
      </c>
      <c r="J87" s="112"/>
      <c r="K87" s="42">
        <f t="shared" si="2"/>
        <v>-1.6000000002804882E-3</v>
      </c>
    </row>
    <row r="88" spans="1:11" ht="16.5" thickBot="1">
      <c r="A88" s="1" t="s">
        <v>72</v>
      </c>
      <c r="B88" s="107" t="s">
        <v>158</v>
      </c>
      <c r="C88" s="104">
        <f>'2011'!J88</f>
        <v>87.089999999999989</v>
      </c>
      <c r="D88" s="109">
        <f>'2012'!AB88</f>
        <v>394.98</v>
      </c>
      <c r="E88" s="105">
        <f>'2013'!AB88</f>
        <v>1778.89</v>
      </c>
      <c r="F88" s="104">
        <f>'2014'!AB88</f>
        <v>-2303.2199999999998</v>
      </c>
      <c r="G88" s="105">
        <f>'2015'!AC88</f>
        <v>1522.1393999999991</v>
      </c>
      <c r="H88" s="104">
        <f>'2016'!AB88</f>
        <v>-334.46620000000166</v>
      </c>
      <c r="I88" s="105">
        <f>'2017'!AB88</f>
        <v>-124.67279999999866</v>
      </c>
      <c r="J88" s="112"/>
      <c r="K88" s="42">
        <f t="shared" si="2"/>
        <v>1020.740399999999</v>
      </c>
    </row>
    <row r="89" spans="1:11" ht="16.5" thickBot="1">
      <c r="A89" s="1" t="s">
        <v>73</v>
      </c>
      <c r="B89" s="107" t="s">
        <v>159</v>
      </c>
      <c r="C89" s="104">
        <f>'2011'!J89</f>
        <v>346.67</v>
      </c>
      <c r="D89" s="109">
        <f>'2012'!AB89</f>
        <v>33.139999999999958</v>
      </c>
      <c r="E89" s="105">
        <f>'2013'!AB89</f>
        <v>1028.25</v>
      </c>
      <c r="F89" s="104">
        <f>'2014'!AB89</f>
        <v>-2492.0799999999995</v>
      </c>
      <c r="G89" s="105">
        <f>'2015'!AC89</f>
        <v>740.38030000000026</v>
      </c>
      <c r="H89" s="104">
        <f>'2016'!AB89</f>
        <v>-1815.6396000000009</v>
      </c>
      <c r="I89" s="105">
        <f>'2017'!AB89</f>
        <v>563.97540000000072</v>
      </c>
      <c r="J89" s="112"/>
      <c r="K89" s="42">
        <f t="shared" si="2"/>
        <v>-1595.3038999999994</v>
      </c>
    </row>
    <row r="90" spans="1:11" ht="16.5" thickBot="1">
      <c r="A90" s="1" t="s">
        <v>74</v>
      </c>
      <c r="B90" s="107" t="s">
        <v>160</v>
      </c>
      <c r="C90" s="104">
        <f>'2011'!J90</f>
        <v>0</v>
      </c>
      <c r="D90" s="109">
        <f>'2012'!AB90</f>
        <v>0</v>
      </c>
      <c r="E90" s="105">
        <f>'2013'!AB90</f>
        <v>0</v>
      </c>
      <c r="F90" s="104">
        <f>'2014'!AB90</f>
        <v>0</v>
      </c>
      <c r="G90" s="105">
        <f>'2015'!AC90</f>
        <v>0</v>
      </c>
      <c r="H90" s="104">
        <f>'2016'!AB90</f>
        <v>0</v>
      </c>
      <c r="I90" s="105">
        <f>'2017'!AB90</f>
        <v>1.1746999999999999</v>
      </c>
      <c r="J90" s="112"/>
      <c r="K90" s="42">
        <f t="shared" si="2"/>
        <v>1.1746999999999999</v>
      </c>
    </row>
    <row r="91" spans="1:11" ht="16.5" thickBot="1">
      <c r="A91" s="1" t="s">
        <v>182</v>
      </c>
      <c r="B91" s="107" t="s">
        <v>161</v>
      </c>
      <c r="C91" s="104">
        <f>'2011'!J91</f>
        <v>1061.0600000000002</v>
      </c>
      <c r="D91" s="109">
        <f>'2012'!AB91</f>
        <v>4638.4599999999991</v>
      </c>
      <c r="E91" s="105">
        <f>'2013'!AB91</f>
        <v>8396.84</v>
      </c>
      <c r="F91" s="104">
        <f>'2014'!AB91</f>
        <v>3041.3600000000006</v>
      </c>
      <c r="G91" s="105">
        <f>'2015'!AC91</f>
        <v>-14901.578200000002</v>
      </c>
      <c r="H91" s="104">
        <f>'2016'!AB91</f>
        <v>-3722.7088000000022</v>
      </c>
      <c r="I91" s="105">
        <f>'2017'!AB91</f>
        <v>148.5778999999998</v>
      </c>
      <c r="J91" s="112"/>
      <c r="K91" s="42">
        <f t="shared" si="2"/>
        <v>-1337.989100000003</v>
      </c>
    </row>
    <row r="92" spans="1:11" ht="16.5" thickBot="1">
      <c r="A92" s="1" t="s">
        <v>75</v>
      </c>
      <c r="B92" s="107" t="s">
        <v>162</v>
      </c>
      <c r="C92" s="104">
        <f>'2011'!J92</f>
        <v>60.93</v>
      </c>
      <c r="D92" s="109">
        <f>'2012'!AB92</f>
        <v>211.40000000000015</v>
      </c>
      <c r="E92" s="105">
        <f>'2013'!AB92</f>
        <v>-431.33999999999986</v>
      </c>
      <c r="F92" s="104">
        <f>'2014'!AB92</f>
        <v>171.17999999999981</v>
      </c>
      <c r="G92" s="105">
        <f>'2015'!AC92</f>
        <v>105.03269999999937</v>
      </c>
      <c r="H92" s="104">
        <f>'2016'!AB92</f>
        <v>2733.146200000001</v>
      </c>
      <c r="I92" s="105">
        <f>'2017'!AB92</f>
        <v>-2042.0469000000003</v>
      </c>
      <c r="J92" s="112"/>
      <c r="K92" s="42">
        <f t="shared" si="2"/>
        <v>808.30200000000013</v>
      </c>
    </row>
    <row r="93" spans="1:11" ht="16.5" thickBot="1">
      <c r="A93" s="1" t="s">
        <v>76</v>
      </c>
      <c r="B93" s="107" t="s">
        <v>179</v>
      </c>
      <c r="C93" s="104">
        <f>'2011'!J93</f>
        <v>653.29999999999995</v>
      </c>
      <c r="D93" s="109">
        <f>'2012'!AB93</f>
        <v>3171.2799999999997</v>
      </c>
      <c r="E93" s="105">
        <f>'2013'!AB93</f>
        <v>-3520.869999999999</v>
      </c>
      <c r="F93" s="104">
        <f>'2014'!AB93</f>
        <v>-304.78999999999888</v>
      </c>
      <c r="G93" s="105">
        <f>'2015'!AC93</f>
        <v>331.99100000000061</v>
      </c>
      <c r="H93" s="104">
        <f>'2016'!AB93</f>
        <v>2158.0855000000083</v>
      </c>
      <c r="I93" s="105">
        <f>'2017'!AB93</f>
        <v>-2488.0269000000062</v>
      </c>
      <c r="J93" s="112"/>
      <c r="K93" s="42">
        <f t="shared" si="2"/>
        <v>0.96960000000490254</v>
      </c>
    </row>
    <row r="94" spans="1:11" ht="16.5" thickBot="1">
      <c r="A94" s="1" t="s">
        <v>77</v>
      </c>
      <c r="B94" s="107" t="s">
        <v>163</v>
      </c>
      <c r="C94" s="104">
        <f>'2011'!J94</f>
        <v>1.01</v>
      </c>
      <c r="D94" s="109">
        <f>'2012'!AB94</f>
        <v>1.7799999999999976</v>
      </c>
      <c r="E94" s="105">
        <f>'2013'!AB94</f>
        <v>33.93</v>
      </c>
      <c r="F94" s="104">
        <f>'2014'!AB94</f>
        <v>57.49</v>
      </c>
      <c r="G94" s="105">
        <f>'2015'!AC94</f>
        <v>25.448299999999957</v>
      </c>
      <c r="H94" s="104">
        <f>'2016'!AB94</f>
        <v>21.12660000000005</v>
      </c>
      <c r="I94" s="105">
        <f>'2017'!AB94</f>
        <v>3.8027999999999462</v>
      </c>
      <c r="J94" s="112"/>
      <c r="K94" s="42">
        <f t="shared" si="2"/>
        <v>144.58769999999996</v>
      </c>
    </row>
    <row r="95" spans="1:11" ht="16.5" thickBot="1">
      <c r="A95" s="1" t="s">
        <v>78</v>
      </c>
      <c r="B95" s="107" t="s">
        <v>164</v>
      </c>
      <c r="C95" s="104">
        <f>'2011'!J95</f>
        <v>85.039999999999992</v>
      </c>
      <c r="D95" s="109">
        <f>'2012'!AB95</f>
        <v>-482.34999999999991</v>
      </c>
      <c r="E95" s="105">
        <f>'2013'!AB95</f>
        <v>-164.42000000000002</v>
      </c>
      <c r="F95" s="104">
        <f>'2014'!AB95</f>
        <v>-1271.02</v>
      </c>
      <c r="G95" s="105">
        <f>'2015'!AC95</f>
        <v>842.87619999999993</v>
      </c>
      <c r="H95" s="104">
        <f>'2016'!AB95</f>
        <v>47.974299999999999</v>
      </c>
      <c r="I95" s="105">
        <f>'2017'!AB95</f>
        <v>-626.67300000000023</v>
      </c>
      <c r="J95" s="112"/>
      <c r="K95" s="42">
        <f t="shared" si="2"/>
        <v>-1568.5725000000002</v>
      </c>
    </row>
    <row r="96" spans="1:11" ht="16.5" thickBot="1">
      <c r="A96" s="1" t="s">
        <v>79</v>
      </c>
      <c r="B96" s="107" t="s">
        <v>99</v>
      </c>
      <c r="C96" s="104">
        <f>'2011'!J96</f>
        <v>237.38</v>
      </c>
      <c r="D96" s="109">
        <f>'2012'!AB96</f>
        <v>-7157.2500000000009</v>
      </c>
      <c r="E96" s="105">
        <f>'2013'!AB96</f>
        <v>9979.6299999999992</v>
      </c>
      <c r="F96" s="104">
        <f>'2014'!AB96</f>
        <v>-10474.980000000001</v>
      </c>
      <c r="G96" s="105">
        <f>'2015'!AC96</f>
        <v>2985.6024000000002</v>
      </c>
      <c r="H96" s="104">
        <f>'2016'!AB96</f>
        <v>791.74120000000016</v>
      </c>
      <c r="I96" s="105">
        <f>'2017'!AB96</f>
        <v>-134.47279999999972</v>
      </c>
      <c r="J96" s="112"/>
      <c r="K96" s="42">
        <f t="shared" si="2"/>
        <v>-3772.3492000000024</v>
      </c>
    </row>
    <row r="97" spans="1:11" ht="16.5" thickBot="1">
      <c r="A97" s="1" t="s">
        <v>80</v>
      </c>
      <c r="B97" s="107" t="s">
        <v>165</v>
      </c>
      <c r="C97" s="104">
        <f>'2011'!J97</f>
        <v>152.76</v>
      </c>
      <c r="D97" s="109">
        <f>'2012'!AB97</f>
        <v>-381.13000000000011</v>
      </c>
      <c r="E97" s="105">
        <f>'2013'!AB97</f>
        <v>-196.01000000000008</v>
      </c>
      <c r="F97" s="104">
        <f>'2014'!AB97</f>
        <v>108.04000000000005</v>
      </c>
      <c r="G97" s="105">
        <f>'2015'!AC97</f>
        <v>-192.56759999999986</v>
      </c>
      <c r="H97" s="104">
        <f>'2016'!AB97</f>
        <v>-1.6586000000011438</v>
      </c>
      <c r="I97" s="105">
        <f>'2017'!AB97</f>
        <v>0.99880000000004543</v>
      </c>
      <c r="J97" s="112"/>
      <c r="K97" s="42">
        <f t="shared" si="2"/>
        <v>-509.56740000000104</v>
      </c>
    </row>
    <row r="98" spans="1:11" ht="16.5" thickBot="1">
      <c r="A98" s="48" t="s">
        <v>81</v>
      </c>
      <c r="B98" s="108" t="s">
        <v>166</v>
      </c>
      <c r="C98" s="126">
        <f>'2011'!J98</f>
        <v>774.73</v>
      </c>
      <c r="D98" s="127">
        <f>'2012'!AB98</f>
        <v>-818.83</v>
      </c>
      <c r="E98" s="128">
        <f>'2013'!AB98</f>
        <v>1245.3999999999996</v>
      </c>
      <c r="F98" s="126">
        <f>'2014'!AB98</f>
        <v>-3029.73</v>
      </c>
      <c r="G98" s="128">
        <f>'2015'!AC98</f>
        <v>0</v>
      </c>
      <c r="H98" s="126">
        <f>'2016'!AB98</f>
        <v>0</v>
      </c>
      <c r="I98" s="128">
        <f>'2017'!AB98</f>
        <v>0</v>
      </c>
      <c r="J98" s="114"/>
      <c r="K98" s="43">
        <f t="shared" si="2"/>
        <v>-1828.4300000000003</v>
      </c>
    </row>
    <row r="99" spans="1:11" ht="16.5" thickBot="1">
      <c r="A99" s="1" t="s">
        <v>82</v>
      </c>
      <c r="B99" s="107" t="s">
        <v>167</v>
      </c>
      <c r="C99" s="104">
        <f>'2011'!J99</f>
        <v>230.67000000000002</v>
      </c>
      <c r="D99" s="109">
        <f>'2012'!AB99</f>
        <v>416.36000000000024</v>
      </c>
      <c r="E99" s="105">
        <f>'2013'!AB99</f>
        <v>-441.73</v>
      </c>
      <c r="F99" s="104">
        <f>'2014'!AB99</f>
        <v>-203.9699999999998</v>
      </c>
      <c r="G99" s="105">
        <f>'2015'!AC99</f>
        <v>238.18820000000176</v>
      </c>
      <c r="H99" s="104">
        <f>'2016'!AB99</f>
        <v>-338.27259999999688</v>
      </c>
      <c r="I99" s="105">
        <f>'2017'!AB99</f>
        <v>-22.717000000003189</v>
      </c>
      <c r="J99" s="112"/>
      <c r="K99" s="42">
        <f t="shared" si="2"/>
        <v>-121.47139999999794</v>
      </c>
    </row>
    <row r="100" spans="1:11" ht="16.5" thickBot="1">
      <c r="A100" s="115" t="s">
        <v>83</v>
      </c>
      <c r="B100" s="116" t="s">
        <v>168</v>
      </c>
      <c r="C100" s="117">
        <f>'2011'!J100</f>
        <v>0</v>
      </c>
      <c r="D100" s="110">
        <f>'2012'!AB100</f>
        <v>0</v>
      </c>
      <c r="E100" s="118">
        <f>'2013'!AB100</f>
        <v>0</v>
      </c>
      <c r="F100" s="117">
        <f>'2014'!AB100</f>
        <v>0</v>
      </c>
      <c r="G100" s="118">
        <f>'2015'!AC100</f>
        <v>0</v>
      </c>
      <c r="H100" s="117">
        <f>'2016'!AB100</f>
        <v>0</v>
      </c>
      <c r="I100" s="119">
        <f>'2017'!AB100</f>
        <v>0</v>
      </c>
      <c r="J100" s="120"/>
      <c r="K100" s="121">
        <f t="shared" si="2"/>
        <v>0</v>
      </c>
    </row>
    <row r="101" spans="1:11" s="123" customFormat="1" ht="19.5" thickBot="1">
      <c r="A101" s="124" t="s">
        <v>211</v>
      </c>
      <c r="B101" s="125"/>
      <c r="C101" s="122">
        <f t="shared" ref="C101:J101" si="3">SUM(C11:C100)</f>
        <v>34026.830000000009</v>
      </c>
      <c r="D101" s="122">
        <f t="shared" si="3"/>
        <v>-6668.4900000000016</v>
      </c>
      <c r="E101" s="122">
        <f t="shared" si="3"/>
        <v>55115.07</v>
      </c>
      <c r="F101" s="122">
        <f t="shared" si="3"/>
        <v>-15113.309999999992</v>
      </c>
      <c r="G101" s="122">
        <f t="shared" si="3"/>
        <v>-74720.252700000012</v>
      </c>
      <c r="H101" s="122">
        <f t="shared" si="3"/>
        <v>3458.5712999999887</v>
      </c>
      <c r="I101" s="122">
        <f t="shared" si="3"/>
        <v>-3552.4288000000265</v>
      </c>
      <c r="J101" s="122">
        <f t="shared" si="3"/>
        <v>-1184.69</v>
      </c>
      <c r="K101" s="122">
        <f>SUM(K11:K100)</f>
        <v>-8638.7002000000757</v>
      </c>
    </row>
    <row r="102" spans="1:11">
      <c r="F102" s="9"/>
      <c r="G102" s="9"/>
      <c r="H102" s="9"/>
      <c r="I102" s="9"/>
      <c r="J102" s="9"/>
    </row>
    <row r="103" spans="1:11">
      <c r="F103" s="8"/>
      <c r="G103" s="8"/>
      <c r="H103" s="8"/>
      <c r="I103" s="8"/>
      <c r="J103" s="8"/>
    </row>
    <row r="104" spans="1:11">
      <c r="F104" s="8"/>
      <c r="G104" s="8"/>
      <c r="H104" s="8"/>
      <c r="I104" s="8"/>
      <c r="J104" s="8"/>
    </row>
    <row r="105" spans="1:11">
      <c r="F105"/>
      <c r="G105"/>
      <c r="H105"/>
      <c r="I105"/>
      <c r="J105"/>
    </row>
    <row r="106" spans="1:11">
      <c r="F106"/>
      <c r="G106"/>
      <c r="H106"/>
      <c r="I106"/>
      <c r="J106"/>
    </row>
    <row r="107" spans="1:11">
      <c r="F107"/>
      <c r="G107"/>
      <c r="H107"/>
      <c r="I107"/>
      <c r="J107"/>
    </row>
    <row r="108" spans="1:11">
      <c r="F108" s="8"/>
      <c r="G108" s="8"/>
      <c r="H108" s="8"/>
      <c r="I108" s="8"/>
      <c r="J108" s="8"/>
    </row>
    <row r="109" spans="1:11">
      <c r="F109" s="8"/>
      <c r="G109" s="8"/>
      <c r="H109" s="8"/>
      <c r="I109" s="8"/>
      <c r="J109" s="8"/>
    </row>
    <row r="110" spans="1:11">
      <c r="F110" s="9"/>
      <c r="G110" s="9"/>
      <c r="H110" s="9"/>
      <c r="I110" s="9"/>
      <c r="J110" s="9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9:AB110"/>
  <sheetViews>
    <sheetView topLeftCell="A2" zoomScaleNormal="100" workbookViewId="0">
      <pane xSplit="2" ySplit="9" topLeftCell="V50" activePane="bottomRight" state="frozen"/>
      <selection activeCell="A2" sqref="A2"/>
      <selection pane="topRight" activeCell="C2" sqref="C2"/>
      <selection pane="bottomLeft" activeCell="A11" sqref="A11"/>
      <selection pane="bottomRight" activeCell="Z71" sqref="Z71"/>
    </sheetView>
  </sheetViews>
  <sheetFormatPr defaultRowHeight="15"/>
  <cols>
    <col min="1" max="1" width="10.28515625" bestFit="1" customWidth="1"/>
    <col min="2" max="2" width="17.7109375" customWidth="1"/>
    <col min="3" max="3" width="17.28515625" bestFit="1" customWidth="1"/>
    <col min="4" max="7" width="17.28515625" customWidth="1"/>
    <col min="8" max="27" width="17.85546875" customWidth="1"/>
    <col min="28" max="28" width="16.5703125" customWidth="1"/>
  </cols>
  <sheetData>
    <row r="9" spans="1:28" ht="15.75" thickBot="1"/>
    <row r="10" spans="1:28" ht="26.25" customHeight="1" thickBot="1">
      <c r="A10" s="11" t="s">
        <v>0</v>
      </c>
      <c r="B10" s="54" t="s">
        <v>96</v>
      </c>
      <c r="C10" s="26">
        <v>42736</v>
      </c>
      <c r="D10" s="10"/>
      <c r="E10" s="26">
        <v>42767</v>
      </c>
      <c r="F10" s="10"/>
      <c r="G10" s="26">
        <v>42795</v>
      </c>
      <c r="H10" s="10"/>
      <c r="I10" s="26">
        <v>42826</v>
      </c>
      <c r="J10" s="10"/>
      <c r="K10" s="26">
        <v>42856</v>
      </c>
      <c r="L10" s="10"/>
      <c r="M10" s="26">
        <v>42887</v>
      </c>
      <c r="N10" s="10"/>
      <c r="O10" s="26">
        <v>42917</v>
      </c>
      <c r="P10" s="10"/>
      <c r="Q10" s="10">
        <v>42948</v>
      </c>
      <c r="R10" s="10"/>
      <c r="S10" s="10">
        <v>42979</v>
      </c>
      <c r="T10" s="10"/>
      <c r="U10" s="10">
        <v>43009</v>
      </c>
      <c r="V10" s="10"/>
      <c r="W10" s="10">
        <v>43040</v>
      </c>
      <c r="X10" s="10"/>
      <c r="Y10" s="10">
        <v>43070</v>
      </c>
      <c r="Z10" s="10"/>
      <c r="AA10" s="10"/>
      <c r="AB10" s="52" t="s">
        <v>84</v>
      </c>
    </row>
    <row r="11" spans="1:28" ht="16.5" thickBot="1">
      <c r="A11" s="1" t="s">
        <v>1</v>
      </c>
      <c r="B11" s="35" t="s">
        <v>97</v>
      </c>
      <c r="C11" s="15">
        <v>755.94590000000176</v>
      </c>
      <c r="D11" s="15">
        <f>-351.36-616.32</f>
        <v>-967.68000000000006</v>
      </c>
      <c r="E11" s="70">
        <v>861.14640000000179</v>
      </c>
      <c r="F11" s="15"/>
      <c r="G11" s="15">
        <v>345.83709999999581</v>
      </c>
      <c r="H11" s="15">
        <f>-755.95-861.15</f>
        <v>-1617.1</v>
      </c>
      <c r="I11" s="15">
        <v>378.68590000000313</v>
      </c>
      <c r="J11" s="15">
        <v>-345.84</v>
      </c>
      <c r="K11" s="15">
        <v>2634.7895999999982</v>
      </c>
      <c r="L11" s="15">
        <f>-378.69-2634.79</f>
        <v>-3013.48</v>
      </c>
      <c r="M11" s="15">
        <v>2818.5604000000012</v>
      </c>
      <c r="N11" s="15">
        <v>-2818.56</v>
      </c>
      <c r="O11" s="69">
        <v>3479.9552999999974</v>
      </c>
      <c r="P11" s="15"/>
      <c r="Q11" s="15">
        <v>2304.1991000000012</v>
      </c>
      <c r="R11" s="15">
        <f>-2304.2-6594.39</f>
        <v>-8898.59</v>
      </c>
      <c r="S11" s="15">
        <v>2426.5886000000019</v>
      </c>
      <c r="T11" s="15"/>
      <c r="U11" s="70">
        <v>2125.1522999999997</v>
      </c>
      <c r="V11" s="15">
        <v>-2426.59</v>
      </c>
      <c r="W11" s="70">
        <v>347.96080000000165</v>
      </c>
      <c r="X11" s="15"/>
      <c r="Y11" s="70">
        <v>457.76019999999448</v>
      </c>
      <c r="Z11" s="15">
        <f>-347.96-457.76</f>
        <v>-805.72</v>
      </c>
      <c r="AA11" s="51"/>
      <c r="AB11" s="42">
        <f t="shared" ref="AB11:AB42" si="0">SUM(C11:AA11)</f>
        <v>-1956.9784000000013</v>
      </c>
    </row>
    <row r="12" spans="1:28" ht="16.5" thickBot="1">
      <c r="A12" s="1" t="s">
        <v>2</v>
      </c>
      <c r="B12" s="36" t="s">
        <v>98</v>
      </c>
      <c r="C12" s="16">
        <v>18.429400000002616</v>
      </c>
      <c r="D12" s="16"/>
      <c r="E12" s="41">
        <v>1260.9468999999972</v>
      </c>
      <c r="F12" s="16"/>
      <c r="G12" s="16">
        <v>2329.5656000000031</v>
      </c>
      <c r="H12" s="16"/>
      <c r="I12" s="16">
        <v>1077.1017999999995</v>
      </c>
      <c r="J12" s="16">
        <v>-3600</v>
      </c>
      <c r="K12" s="16">
        <v>120.61739999999961</v>
      </c>
      <c r="L12" s="16"/>
      <c r="M12" s="16">
        <v>754.38679999999761</v>
      </c>
      <c r="N12" s="16"/>
      <c r="O12" s="56">
        <v>1218.7994000000015</v>
      </c>
      <c r="P12" s="16"/>
      <c r="Q12" s="16">
        <v>370.35939999999829</v>
      </c>
      <c r="R12" s="16">
        <v>-3500</v>
      </c>
      <c r="S12" s="16">
        <v>476.22890000000132</v>
      </c>
      <c r="T12" s="16"/>
      <c r="U12" s="41">
        <v>142.21920000000091</v>
      </c>
      <c r="V12" s="16"/>
      <c r="W12" s="41">
        <v>0</v>
      </c>
      <c r="X12" s="16">
        <v>-600</v>
      </c>
      <c r="Y12" s="41">
        <v>0</v>
      </c>
      <c r="Z12" s="16"/>
      <c r="AA12" s="4"/>
      <c r="AB12" s="42">
        <f t="shared" si="0"/>
        <v>68.654800000001046</v>
      </c>
    </row>
    <row r="13" spans="1:28" ht="16.5" thickBot="1">
      <c r="A13" s="1" t="s">
        <v>3</v>
      </c>
      <c r="B13" s="36" t="s">
        <v>99</v>
      </c>
      <c r="C13" s="16">
        <v>3.7175999999999747</v>
      </c>
      <c r="D13" s="16"/>
      <c r="E13" s="41">
        <v>3.7728999999998969</v>
      </c>
      <c r="F13" s="16">
        <v>-440</v>
      </c>
      <c r="G13" s="16">
        <v>3.4379000000001736</v>
      </c>
      <c r="H13" s="16"/>
      <c r="I13" s="16">
        <v>3.7175999999999747</v>
      </c>
      <c r="J13" s="16">
        <v>-170.25</v>
      </c>
      <c r="K13" s="16">
        <v>80.67439999999992</v>
      </c>
      <c r="L13" s="16"/>
      <c r="M13" s="16">
        <v>121.06500000000011</v>
      </c>
      <c r="N13" s="16"/>
      <c r="O13" s="56">
        <v>84.512299999999797</v>
      </c>
      <c r="P13" s="16"/>
      <c r="Q13" s="16">
        <v>106.65650000000014</v>
      </c>
      <c r="R13" s="16"/>
      <c r="S13" s="16">
        <v>3.9329999999999248</v>
      </c>
      <c r="T13" s="16"/>
      <c r="U13" s="41">
        <v>3.6963000000001403</v>
      </c>
      <c r="V13" s="16"/>
      <c r="W13" s="41">
        <v>3.2855999999997945</v>
      </c>
      <c r="X13" s="16"/>
      <c r="Y13" s="41">
        <v>4.1650000000000436</v>
      </c>
      <c r="Z13" s="16"/>
      <c r="AA13" s="4"/>
      <c r="AB13" s="42">
        <f t="shared" si="0"/>
        <v>-187.61590000000018</v>
      </c>
    </row>
    <row r="14" spans="1:28" ht="16.5" thickBot="1">
      <c r="A14" s="48" t="s">
        <v>4</v>
      </c>
      <c r="B14" s="47" t="s">
        <v>100</v>
      </c>
      <c r="C14" s="46"/>
      <c r="D14" s="46"/>
      <c r="E14" s="57"/>
      <c r="F14" s="46"/>
      <c r="G14" s="46"/>
      <c r="H14" s="46"/>
      <c r="I14" s="46"/>
      <c r="J14" s="46"/>
      <c r="K14" s="46"/>
      <c r="L14" s="46"/>
      <c r="M14" s="46"/>
      <c r="N14" s="46"/>
      <c r="O14" s="50"/>
      <c r="P14" s="46"/>
      <c r="Q14" s="46"/>
      <c r="R14" s="46"/>
      <c r="S14" s="46"/>
      <c r="T14" s="46"/>
      <c r="U14" s="57"/>
      <c r="V14" s="46"/>
      <c r="W14" s="57"/>
      <c r="X14" s="46"/>
      <c r="Y14" s="57"/>
      <c r="Z14" s="46"/>
      <c r="AA14" s="45"/>
      <c r="AB14" s="42">
        <f t="shared" si="0"/>
        <v>0</v>
      </c>
    </row>
    <row r="15" spans="1:28" ht="16.5" thickBot="1">
      <c r="A15" s="48" t="s">
        <v>5</v>
      </c>
      <c r="B15" s="47" t="s">
        <v>217</v>
      </c>
      <c r="C15" s="46"/>
      <c r="D15" s="46"/>
      <c r="E15" s="57"/>
      <c r="F15" s="46"/>
      <c r="G15" s="46"/>
      <c r="H15" s="46"/>
      <c r="I15" s="46"/>
      <c r="J15" s="46"/>
      <c r="K15" s="46"/>
      <c r="L15" s="46"/>
      <c r="M15" s="46"/>
      <c r="N15" s="46"/>
      <c r="O15" s="50"/>
      <c r="P15" s="46"/>
      <c r="Q15" s="46"/>
      <c r="R15" s="46"/>
      <c r="S15" s="46"/>
      <c r="T15" s="46"/>
      <c r="U15" s="57"/>
      <c r="V15" s="46"/>
      <c r="W15" s="57"/>
      <c r="X15" s="46"/>
      <c r="Y15" s="57"/>
      <c r="Z15" s="46"/>
      <c r="AA15" s="45"/>
      <c r="AB15" s="42">
        <f t="shared" si="0"/>
        <v>0</v>
      </c>
    </row>
    <row r="16" spans="1:28" ht="16.5" thickBot="1">
      <c r="A16" s="1" t="s">
        <v>6</v>
      </c>
      <c r="B16" s="36" t="s">
        <v>101</v>
      </c>
      <c r="C16" s="16">
        <v>0</v>
      </c>
      <c r="D16" s="16"/>
      <c r="E16" s="41">
        <v>2.3779000000016097</v>
      </c>
      <c r="F16" s="16"/>
      <c r="G16" s="16">
        <v>1530.7937999999999</v>
      </c>
      <c r="H16" s="16"/>
      <c r="I16" s="16">
        <v>470.30590000000024</v>
      </c>
      <c r="J16" s="16"/>
      <c r="K16" s="16">
        <v>144.84890000000055</v>
      </c>
      <c r="L16" s="16"/>
      <c r="M16" s="16">
        <v>720.91219999999987</v>
      </c>
      <c r="N16" s="16"/>
      <c r="O16" s="56">
        <v>1008.7129999999992</v>
      </c>
      <c r="P16" s="16"/>
      <c r="Q16" s="16">
        <v>467.0694999999991</v>
      </c>
      <c r="R16" s="16"/>
      <c r="S16" s="16">
        <v>593.95619999999997</v>
      </c>
      <c r="T16" s="16"/>
      <c r="U16" s="41">
        <v>590.57270000000153</v>
      </c>
      <c r="V16" s="16"/>
      <c r="W16" s="41">
        <v>298.390899999998</v>
      </c>
      <c r="X16" s="16"/>
      <c r="Y16" s="41">
        <v>2331.9480000000021</v>
      </c>
      <c r="Z16" s="16"/>
      <c r="AA16" s="4"/>
      <c r="AB16" s="42">
        <f t="shared" si="0"/>
        <v>8159.889000000001</v>
      </c>
    </row>
    <row r="17" spans="1:28" ht="16.5" thickBot="1">
      <c r="A17" s="1" t="s">
        <v>7</v>
      </c>
      <c r="B17" s="36" t="s">
        <v>102</v>
      </c>
      <c r="C17" s="16">
        <v>8250.6978000000036</v>
      </c>
      <c r="D17" s="16"/>
      <c r="E17" s="41">
        <v>1471.5421999999996</v>
      </c>
      <c r="F17" s="16">
        <v>-5005.84</v>
      </c>
      <c r="G17" s="16">
        <v>1341.3034000000048</v>
      </c>
      <c r="H17" s="16"/>
      <c r="I17" s="16">
        <v>248.1756999999983</v>
      </c>
      <c r="J17" s="16">
        <v>-12510</v>
      </c>
      <c r="K17" s="16">
        <v>1060.9352999999981</v>
      </c>
      <c r="L17" s="16"/>
      <c r="M17" s="16">
        <v>836.34380000000385</v>
      </c>
      <c r="N17" s="16"/>
      <c r="O17" s="56">
        <v>2065.1741999999967</v>
      </c>
      <c r="P17" s="16"/>
      <c r="Q17" s="16">
        <v>1226.9923999999955</v>
      </c>
      <c r="R17" s="16"/>
      <c r="S17" s="16">
        <v>1152.446000000001</v>
      </c>
      <c r="T17" s="16"/>
      <c r="U17" s="41">
        <v>1452.4074999999978</v>
      </c>
      <c r="V17" s="16"/>
      <c r="W17" s="41">
        <v>2732.9411000000073</v>
      </c>
      <c r="X17" s="16"/>
      <c r="Y17" s="41">
        <v>1672.7980000000016</v>
      </c>
      <c r="Z17" s="16"/>
      <c r="AA17" s="4"/>
      <c r="AB17" s="42">
        <f t="shared" si="0"/>
        <v>5995.9174000000085</v>
      </c>
    </row>
    <row r="18" spans="1:28" ht="16.5" thickBot="1">
      <c r="A18" s="1" t="s">
        <v>8</v>
      </c>
      <c r="B18" s="36" t="s">
        <v>103</v>
      </c>
      <c r="C18" s="16">
        <v>4.4039000000003217</v>
      </c>
      <c r="D18" s="16"/>
      <c r="E18" s="41">
        <v>4.3127999999998865</v>
      </c>
      <c r="F18" s="16"/>
      <c r="G18" s="16">
        <v>3.9778000000000797</v>
      </c>
      <c r="H18" s="16"/>
      <c r="I18" s="16">
        <v>4.3680999999997248</v>
      </c>
      <c r="J18" s="16"/>
      <c r="K18" s="16">
        <v>4.9406000000005728</v>
      </c>
      <c r="L18" s="16"/>
      <c r="M18" s="16">
        <v>32.673499999999535</v>
      </c>
      <c r="N18" s="16"/>
      <c r="O18" s="56">
        <v>32.235900000000157</v>
      </c>
      <c r="P18" s="16"/>
      <c r="Q18" s="16">
        <v>17.451100000000231</v>
      </c>
      <c r="R18" s="16"/>
      <c r="S18" s="16">
        <v>58.287800000000132</v>
      </c>
      <c r="T18" s="16"/>
      <c r="U18" s="41">
        <v>8.7307999999999062</v>
      </c>
      <c r="V18" s="16"/>
      <c r="W18" s="41">
        <v>4.1441000000000026</v>
      </c>
      <c r="X18" s="16"/>
      <c r="Y18" s="41">
        <v>5.3343999999998166</v>
      </c>
      <c r="Z18" s="16"/>
      <c r="AA18" s="4"/>
      <c r="AB18" s="42">
        <f t="shared" si="0"/>
        <v>180.86080000000035</v>
      </c>
    </row>
    <row r="19" spans="1:28" ht="16.5" thickBot="1">
      <c r="A19" s="1" t="s">
        <v>9</v>
      </c>
      <c r="B19" s="36" t="s">
        <v>104</v>
      </c>
      <c r="C19" s="16">
        <v>3.6622999999997381</v>
      </c>
      <c r="D19" s="16"/>
      <c r="E19" s="41">
        <v>3.607000000000935</v>
      </c>
      <c r="F19" s="16"/>
      <c r="G19" s="16">
        <v>3.3630999999998994</v>
      </c>
      <c r="H19" s="16"/>
      <c r="I19" s="16">
        <v>11.440100000000209</v>
      </c>
      <c r="J19" s="16"/>
      <c r="K19" s="16">
        <v>107.12859999999984</v>
      </c>
      <c r="L19" s="16">
        <v>-311</v>
      </c>
      <c r="M19" s="16">
        <v>74.830199999999138</v>
      </c>
      <c r="N19" s="16"/>
      <c r="O19" s="56">
        <v>54.732099999999846</v>
      </c>
      <c r="P19" s="16"/>
      <c r="Q19" s="16">
        <v>178.35670000000118</v>
      </c>
      <c r="R19" s="16"/>
      <c r="S19" s="16">
        <v>101.51589999999969</v>
      </c>
      <c r="T19" s="16"/>
      <c r="U19" s="41">
        <v>64.190300000000121</v>
      </c>
      <c r="V19" s="16"/>
      <c r="W19" s="41">
        <v>106.33070000000004</v>
      </c>
      <c r="X19" s="16"/>
      <c r="Y19" s="41">
        <v>24.116999999999642</v>
      </c>
      <c r="Z19" s="16"/>
      <c r="AA19" s="4"/>
      <c r="AB19" s="42">
        <f t="shared" si="0"/>
        <v>422.27400000000029</v>
      </c>
    </row>
    <row r="20" spans="1:28" ht="16.5" thickBot="1">
      <c r="A20" s="48" t="s">
        <v>10</v>
      </c>
      <c r="B20" s="47" t="s">
        <v>105</v>
      </c>
      <c r="C20" s="46"/>
      <c r="D20" s="46"/>
      <c r="E20" s="57"/>
      <c r="F20" s="46"/>
      <c r="G20" s="46"/>
      <c r="H20" s="46"/>
      <c r="I20" s="46"/>
      <c r="J20" s="46"/>
      <c r="K20" s="46"/>
      <c r="L20" s="46"/>
      <c r="M20" s="46"/>
      <c r="N20" s="46"/>
      <c r="O20" s="50"/>
      <c r="P20" s="46"/>
      <c r="Q20" s="46"/>
      <c r="R20" s="46"/>
      <c r="S20" s="46"/>
      <c r="T20" s="46"/>
      <c r="U20" s="57"/>
      <c r="V20" s="46"/>
      <c r="W20" s="57"/>
      <c r="X20" s="46"/>
      <c r="Y20" s="57"/>
      <c r="Z20" s="46"/>
      <c r="AA20" s="45"/>
      <c r="AB20" s="42">
        <f t="shared" si="0"/>
        <v>0</v>
      </c>
    </row>
    <row r="21" spans="1:28" ht="16.5" thickBot="1">
      <c r="A21" s="48" t="s">
        <v>11</v>
      </c>
      <c r="B21" s="47" t="s">
        <v>106</v>
      </c>
      <c r="C21" s="46"/>
      <c r="D21" s="46"/>
      <c r="E21" s="57"/>
      <c r="F21" s="46"/>
      <c r="G21" s="46"/>
      <c r="H21" s="46"/>
      <c r="I21" s="46"/>
      <c r="J21" s="46"/>
      <c r="K21" s="46"/>
      <c r="L21" s="46"/>
      <c r="M21" s="46"/>
      <c r="N21" s="46"/>
      <c r="O21" s="50"/>
      <c r="P21" s="46"/>
      <c r="Q21" s="46"/>
      <c r="R21" s="46"/>
      <c r="S21" s="46"/>
      <c r="T21" s="46"/>
      <c r="U21" s="57"/>
      <c r="V21" s="46"/>
      <c r="W21" s="57"/>
      <c r="X21" s="46"/>
      <c r="Y21" s="57"/>
      <c r="Z21" s="46"/>
      <c r="AA21" s="45"/>
      <c r="AB21" s="42">
        <f t="shared" si="0"/>
        <v>0</v>
      </c>
    </row>
    <row r="22" spans="1:28" ht="16.5" thickBot="1">
      <c r="A22" s="1" t="s">
        <v>12</v>
      </c>
      <c r="B22" s="36" t="s">
        <v>107</v>
      </c>
      <c r="C22" s="16">
        <v>310.25110000000166</v>
      </c>
      <c r="D22" s="16"/>
      <c r="E22" s="41">
        <v>219.96609999999836</v>
      </c>
      <c r="F22" s="16"/>
      <c r="G22" s="16">
        <v>276.18680000000307</v>
      </c>
      <c r="H22" s="16">
        <v>-530.22</v>
      </c>
      <c r="I22" s="16">
        <v>1053.1079999999979</v>
      </c>
      <c r="J22" s="16"/>
      <c r="K22" s="16">
        <v>758.89450000000249</v>
      </c>
      <c r="L22" s="16"/>
      <c r="M22" s="16">
        <v>560.53319999999849</v>
      </c>
      <c r="N22" s="16"/>
      <c r="O22" s="56">
        <v>525.13229999999942</v>
      </c>
      <c r="P22" s="16">
        <v>-1319.42</v>
      </c>
      <c r="Q22" s="16">
        <v>422.21479999999877</v>
      </c>
      <c r="R22" s="16">
        <v>-947.34</v>
      </c>
      <c r="S22" s="16">
        <v>309.44050000000311</v>
      </c>
      <c r="T22" s="16"/>
      <c r="U22" s="41">
        <v>754.30520000000081</v>
      </c>
      <c r="V22" s="16"/>
      <c r="W22" s="41">
        <v>938.27439999999649</v>
      </c>
      <c r="X22" s="16">
        <v>-1063.75</v>
      </c>
      <c r="Y22" s="41">
        <v>1006.6369999999995</v>
      </c>
      <c r="Z22" s="16"/>
      <c r="AA22" s="4"/>
      <c r="AB22" s="42">
        <f t="shared" si="0"/>
        <v>3274.2138999999997</v>
      </c>
    </row>
    <row r="23" spans="1:28" ht="16.5" thickBot="1">
      <c r="A23" s="1" t="s">
        <v>13</v>
      </c>
      <c r="B23" s="36" t="s">
        <v>108</v>
      </c>
      <c r="C23" s="16">
        <v>15.576199999996852</v>
      </c>
      <c r="D23" s="16"/>
      <c r="E23" s="41">
        <v>15.761600000000456</v>
      </c>
      <c r="F23" s="16"/>
      <c r="G23" s="16">
        <v>14.310999999998817</v>
      </c>
      <c r="H23" s="16"/>
      <c r="I23" s="16">
        <v>15.742100000000473</v>
      </c>
      <c r="J23" s="16"/>
      <c r="K23" s="16">
        <v>614.2173000000023</v>
      </c>
      <c r="L23" s="16"/>
      <c r="M23" s="16">
        <v>2155.9295999999995</v>
      </c>
      <c r="N23" s="16">
        <v>-2155</v>
      </c>
      <c r="O23" s="56">
        <v>2391.4962000000005</v>
      </c>
      <c r="P23" s="16"/>
      <c r="Q23" s="16">
        <v>1450.0156000000002</v>
      </c>
      <c r="R23" s="16">
        <v>-6769.79</v>
      </c>
      <c r="S23" s="16">
        <v>2304.0624000000007</v>
      </c>
      <c r="T23" s="16"/>
      <c r="U23" s="41">
        <v>1392.636399999996</v>
      </c>
      <c r="V23" s="16"/>
      <c r="W23" s="41">
        <v>29.122700000003107</v>
      </c>
      <c r="X23" s="16"/>
      <c r="Y23" s="41">
        <v>17.871199999999309</v>
      </c>
      <c r="Z23" s="16">
        <v>-5193.71</v>
      </c>
      <c r="AA23" s="4"/>
      <c r="AB23" s="42">
        <f t="shared" si="0"/>
        <v>-3701.7577000000024</v>
      </c>
    </row>
    <row r="24" spans="1:28" ht="16.5" thickBot="1">
      <c r="A24" s="1" t="s">
        <v>14</v>
      </c>
      <c r="B24" s="36" t="s">
        <v>109</v>
      </c>
      <c r="C24" s="16">
        <v>16.298300000000783</v>
      </c>
      <c r="D24" s="16"/>
      <c r="E24" s="41">
        <v>342.88480000000476</v>
      </c>
      <c r="F24" s="16">
        <v>-359.18</v>
      </c>
      <c r="G24" s="16">
        <v>14.961499999995269</v>
      </c>
      <c r="H24" s="16"/>
      <c r="I24" s="16">
        <v>16.412100000003267</v>
      </c>
      <c r="J24" s="16"/>
      <c r="K24" s="16">
        <v>3337.4467999999915</v>
      </c>
      <c r="L24" s="16">
        <v>-3368.82</v>
      </c>
      <c r="M24" s="16">
        <v>2759.5224000000044</v>
      </c>
      <c r="N24" s="16">
        <v>-2759.52</v>
      </c>
      <c r="O24" s="56">
        <v>2463.7437999999929</v>
      </c>
      <c r="P24" s="16"/>
      <c r="Q24" s="16">
        <v>1674.896400000001</v>
      </c>
      <c r="R24" s="16">
        <f>-2463.74-1674.9</f>
        <v>-4138.6399999999994</v>
      </c>
      <c r="S24" s="16">
        <v>3107.9121000000141</v>
      </c>
      <c r="T24" s="16">
        <v>-3107.91</v>
      </c>
      <c r="U24" s="41">
        <v>3632.6047999999987</v>
      </c>
      <c r="V24" s="16"/>
      <c r="W24" s="41">
        <v>341.27690000000393</v>
      </c>
      <c r="X24" s="16">
        <f>-3632.6-341.28</f>
        <v>-3973.88</v>
      </c>
      <c r="Y24" s="41">
        <v>382.72819999998359</v>
      </c>
      <c r="Z24" s="16">
        <v>-382.73</v>
      </c>
      <c r="AA24" s="4"/>
      <c r="AB24" s="42">
        <f t="shared" si="0"/>
        <v>8.0999999944992851E-3</v>
      </c>
    </row>
    <row r="25" spans="1:28" ht="16.5" thickBot="1">
      <c r="A25" s="48" t="s">
        <v>15</v>
      </c>
      <c r="B25" s="47" t="s">
        <v>110</v>
      </c>
      <c r="C25" s="46"/>
      <c r="D25" s="46"/>
      <c r="E25" s="57"/>
      <c r="F25" s="46"/>
      <c r="G25" s="46"/>
      <c r="H25" s="46"/>
      <c r="I25" s="46"/>
      <c r="J25" s="46"/>
      <c r="K25" s="46"/>
      <c r="L25" s="46"/>
      <c r="M25" s="46"/>
      <c r="N25" s="46"/>
      <c r="O25" s="50"/>
      <c r="P25" s="46"/>
      <c r="Q25" s="46"/>
      <c r="R25" s="46"/>
      <c r="S25" s="46"/>
      <c r="T25" s="46"/>
      <c r="U25" s="57"/>
      <c r="V25" s="46"/>
      <c r="W25" s="57"/>
      <c r="X25" s="46"/>
      <c r="Y25" s="57"/>
      <c r="Z25" s="46"/>
      <c r="AA25" s="45"/>
      <c r="AB25" s="42">
        <f t="shared" si="0"/>
        <v>0</v>
      </c>
    </row>
    <row r="26" spans="1:28" ht="16.5" thickBot="1">
      <c r="A26" s="1" t="s">
        <v>16</v>
      </c>
      <c r="B26" s="36" t="s">
        <v>111</v>
      </c>
      <c r="C26" s="16">
        <v>4.8690000000000087</v>
      </c>
      <c r="D26" s="16"/>
      <c r="E26" s="41">
        <v>4.9243000000012156</v>
      </c>
      <c r="F26" s="16"/>
      <c r="G26" s="16">
        <v>4.4981999999988673</v>
      </c>
      <c r="H26" s="16"/>
      <c r="I26" s="16">
        <v>4.9990999999998902</v>
      </c>
      <c r="J26" s="16"/>
      <c r="K26" s="16">
        <v>5.2040000000011828</v>
      </c>
      <c r="L26" s="16"/>
      <c r="M26" s="16">
        <v>4.4623999999991213</v>
      </c>
      <c r="N26" s="16"/>
      <c r="O26" s="56">
        <v>67.033200000000619</v>
      </c>
      <c r="P26" s="16"/>
      <c r="Q26" s="16">
        <v>19.470099999999647</v>
      </c>
      <c r="R26" s="16"/>
      <c r="S26" s="16">
        <v>5.2810999999998662</v>
      </c>
      <c r="T26" s="16"/>
      <c r="U26" s="41">
        <v>25.924400000000873</v>
      </c>
      <c r="V26" s="16"/>
      <c r="W26" s="41">
        <v>4.4387999999990759</v>
      </c>
      <c r="X26" s="16"/>
      <c r="Y26" s="41">
        <v>5.5339999999996357</v>
      </c>
      <c r="Z26" s="16"/>
      <c r="AA26" s="4"/>
      <c r="AB26" s="42">
        <f t="shared" si="0"/>
        <v>156.6386</v>
      </c>
    </row>
    <row r="27" spans="1:28" ht="16.5" thickBot="1">
      <c r="A27" s="1" t="s">
        <v>17</v>
      </c>
      <c r="B27" s="36" t="s">
        <v>216</v>
      </c>
      <c r="C27" s="16">
        <v>0</v>
      </c>
      <c r="D27" s="16"/>
      <c r="E27" s="41">
        <v>0</v>
      </c>
      <c r="F27" s="16"/>
      <c r="G27" s="16">
        <v>0</v>
      </c>
      <c r="H27" s="16"/>
      <c r="I27" s="16">
        <v>0</v>
      </c>
      <c r="J27" s="16"/>
      <c r="K27" s="16">
        <v>137.96170000000055</v>
      </c>
      <c r="L27" s="16"/>
      <c r="M27" s="16">
        <v>82.575899999999891</v>
      </c>
      <c r="N27" s="16"/>
      <c r="O27" s="56">
        <v>280.30089999999996</v>
      </c>
      <c r="P27" s="16"/>
      <c r="Q27" s="16">
        <v>392.59139999999962</v>
      </c>
      <c r="R27" s="16">
        <v>-1000</v>
      </c>
      <c r="S27" s="16">
        <v>677.72529999999995</v>
      </c>
      <c r="T27" s="16"/>
      <c r="U27" s="41">
        <v>534.95090000000027</v>
      </c>
      <c r="V27" s="16">
        <v>-1070.32</v>
      </c>
      <c r="W27" s="41">
        <v>15.119699999999673</v>
      </c>
      <c r="X27" s="16"/>
      <c r="Y27" s="41">
        <v>0</v>
      </c>
      <c r="Z27" s="16"/>
      <c r="AA27" s="4"/>
      <c r="AB27" s="42">
        <f t="shared" si="0"/>
        <v>50.905800000000163</v>
      </c>
    </row>
    <row r="28" spans="1:28" ht="16.5" thickBot="1">
      <c r="A28" s="1" t="s">
        <v>18</v>
      </c>
      <c r="B28" s="36" t="s">
        <v>113</v>
      </c>
      <c r="C28" s="16">
        <v>0</v>
      </c>
      <c r="D28" s="16"/>
      <c r="E28" s="41">
        <v>0</v>
      </c>
      <c r="F28" s="16"/>
      <c r="G28" s="16">
        <v>0</v>
      </c>
      <c r="H28" s="16"/>
      <c r="I28" s="16">
        <v>0</v>
      </c>
      <c r="J28" s="16"/>
      <c r="K28" s="16">
        <v>44.99000000000013</v>
      </c>
      <c r="L28" s="16"/>
      <c r="M28" s="16">
        <v>203.53529999999955</v>
      </c>
      <c r="N28" s="16"/>
      <c r="O28" s="56">
        <v>128.37119999999996</v>
      </c>
      <c r="P28" s="16"/>
      <c r="Q28" s="16">
        <v>281.97340000000048</v>
      </c>
      <c r="R28" s="16"/>
      <c r="S28" s="16">
        <v>310.81609999999978</v>
      </c>
      <c r="T28" s="16"/>
      <c r="U28" s="41">
        <v>146.36909999999972</v>
      </c>
      <c r="V28" s="16">
        <v>-1000</v>
      </c>
      <c r="W28" s="41">
        <v>0</v>
      </c>
      <c r="X28" s="16"/>
      <c r="Y28" s="41">
        <v>0</v>
      </c>
      <c r="Z28" s="16"/>
      <c r="AA28" s="4"/>
      <c r="AB28" s="42">
        <f t="shared" si="0"/>
        <v>116.05509999999958</v>
      </c>
    </row>
    <row r="29" spans="1:28" ht="16.5" thickBot="1">
      <c r="A29" s="1" t="s">
        <v>19</v>
      </c>
      <c r="B29" s="36" t="s">
        <v>114</v>
      </c>
      <c r="C29" s="16">
        <v>0</v>
      </c>
      <c r="D29" s="16"/>
      <c r="E29" s="41">
        <v>0</v>
      </c>
      <c r="F29" s="16"/>
      <c r="G29" s="16">
        <v>0</v>
      </c>
      <c r="H29" s="16"/>
      <c r="I29" s="16">
        <v>0</v>
      </c>
      <c r="J29" s="16"/>
      <c r="K29" s="16">
        <v>471.28449999999998</v>
      </c>
      <c r="L29" s="16"/>
      <c r="M29" s="16">
        <v>1216.8615999999979</v>
      </c>
      <c r="N29" s="16">
        <f>-471.28-1216.86</f>
        <v>-1688.1399999999999</v>
      </c>
      <c r="O29" s="56">
        <v>1435.2055000000005</v>
      </c>
      <c r="P29" s="16"/>
      <c r="Q29" s="16">
        <v>841.36230000000023</v>
      </c>
      <c r="R29" s="16">
        <f>-1435.21-841.36</f>
        <v>-2276.5700000000002</v>
      </c>
      <c r="S29" s="16">
        <v>1022.8367999999998</v>
      </c>
      <c r="T29" s="16">
        <f>-269.68-1022.84</f>
        <v>-1292.52</v>
      </c>
      <c r="U29" s="41">
        <v>999.63820000000158</v>
      </c>
      <c r="V29" s="16"/>
      <c r="W29" s="41">
        <v>16.529999999999472</v>
      </c>
      <c r="X29" s="16">
        <f>-999.64-16.53</f>
        <v>-1016.17</v>
      </c>
      <c r="Y29" s="41">
        <v>0</v>
      </c>
      <c r="Z29" s="16"/>
      <c r="AA29" s="4"/>
      <c r="AB29" s="42">
        <f t="shared" si="0"/>
        <v>-269.6811000000007</v>
      </c>
    </row>
    <row r="30" spans="1:28" ht="16.5" thickBot="1">
      <c r="A30" s="48" t="s">
        <v>20</v>
      </c>
      <c r="B30" s="47" t="s">
        <v>181</v>
      </c>
      <c r="C30" s="46"/>
      <c r="D30" s="46"/>
      <c r="E30" s="57"/>
      <c r="F30" s="46"/>
      <c r="G30" s="46"/>
      <c r="H30" s="46"/>
      <c r="I30" s="46"/>
      <c r="J30" s="46"/>
      <c r="K30" s="46"/>
      <c r="L30" s="46"/>
      <c r="M30" s="46"/>
      <c r="N30" s="46"/>
      <c r="O30" s="50"/>
      <c r="P30" s="46"/>
      <c r="Q30" s="46"/>
      <c r="R30" s="46"/>
      <c r="S30" s="46"/>
      <c r="T30" s="46"/>
      <c r="U30" s="57"/>
      <c r="V30" s="46"/>
      <c r="W30" s="57"/>
      <c r="X30" s="46"/>
      <c r="Y30" s="57"/>
      <c r="Z30" s="46"/>
      <c r="AA30" s="45"/>
      <c r="AB30" s="42">
        <f t="shared" si="0"/>
        <v>0</v>
      </c>
    </row>
    <row r="31" spans="1:28" ht="16.5" thickBot="1">
      <c r="A31" s="64" t="s">
        <v>21</v>
      </c>
      <c r="B31" s="36" t="s">
        <v>115</v>
      </c>
      <c r="C31" s="16">
        <v>2.6767999999992664</v>
      </c>
      <c r="D31" s="16">
        <v>-1755.44</v>
      </c>
      <c r="E31" s="41">
        <v>2.6214999999980595</v>
      </c>
      <c r="F31" s="16"/>
      <c r="G31" s="16">
        <v>2.4166000000036458</v>
      </c>
      <c r="H31" s="16"/>
      <c r="I31" s="16">
        <v>228.98960000000068</v>
      </c>
      <c r="J31" s="16"/>
      <c r="K31" s="16">
        <v>1507.6073999999962</v>
      </c>
      <c r="L31" s="16">
        <v>-385</v>
      </c>
      <c r="M31" s="16">
        <v>2855.3789000000029</v>
      </c>
      <c r="N31" s="16">
        <v>-1507.61</v>
      </c>
      <c r="O31" s="56">
        <v>3135.2717999999986</v>
      </c>
      <c r="P31" s="16"/>
      <c r="Q31" s="16">
        <v>1859.9186000000004</v>
      </c>
      <c r="R31" s="16"/>
      <c r="S31" s="16">
        <v>2228.5426999999977</v>
      </c>
      <c r="T31" s="16">
        <f>-7850.57-2230</f>
        <v>-10080.57</v>
      </c>
      <c r="U31" s="41">
        <v>2560.778900000003</v>
      </c>
      <c r="V31" s="16"/>
      <c r="W31" s="41">
        <v>42.687999999998098</v>
      </c>
      <c r="X31" s="16">
        <v>-2560.7800000000002</v>
      </c>
      <c r="Y31" s="41">
        <v>0</v>
      </c>
      <c r="Z31" s="16"/>
      <c r="AA31" s="4"/>
      <c r="AB31" s="42">
        <f t="shared" si="0"/>
        <v>-1862.5092000000002</v>
      </c>
    </row>
    <row r="32" spans="1:28" ht="16.5" thickBot="1">
      <c r="A32" s="1" t="s">
        <v>22</v>
      </c>
      <c r="B32" s="36" t="s">
        <v>201</v>
      </c>
      <c r="C32" s="16">
        <v>13.771099999999308</v>
      </c>
      <c r="D32" s="16">
        <f>-13.77-13.82</f>
        <v>-27.59</v>
      </c>
      <c r="E32" s="41">
        <v>13.771100000002045</v>
      </c>
      <c r="F32" s="16"/>
      <c r="G32" s="16">
        <v>13.338599999998445</v>
      </c>
      <c r="H32" s="16">
        <f>-13.34-13.77</f>
        <v>-27.11</v>
      </c>
      <c r="I32" s="16">
        <v>15.378000000000361</v>
      </c>
      <c r="J32" s="16">
        <v>-15.38</v>
      </c>
      <c r="K32" s="16">
        <v>462.35000000000105</v>
      </c>
      <c r="L32" s="16">
        <v>-462.35</v>
      </c>
      <c r="M32" s="16">
        <v>912.67460000000096</v>
      </c>
      <c r="N32" s="16"/>
      <c r="O32" s="56">
        <v>1380.0703999999985</v>
      </c>
      <c r="P32" s="16">
        <f>-912.67-1380.07</f>
        <v>-2292.7399999999998</v>
      </c>
      <c r="Q32" s="16">
        <v>1211.2698999999984</v>
      </c>
      <c r="R32" s="16"/>
      <c r="S32" s="16">
        <v>1015.194999999999</v>
      </c>
      <c r="T32" s="16">
        <v>-1211.27</v>
      </c>
      <c r="U32" s="41">
        <v>887.26960000000065</v>
      </c>
      <c r="V32" s="16"/>
      <c r="W32" s="41">
        <v>17.677900000001408</v>
      </c>
      <c r="X32" s="16">
        <v>-887.27</v>
      </c>
      <c r="Y32" s="41">
        <v>16.838700000000248</v>
      </c>
      <c r="Z32" s="16"/>
      <c r="AA32" s="4"/>
      <c r="AB32" s="42">
        <f t="shared" si="0"/>
        <v>1035.8949000000002</v>
      </c>
    </row>
    <row r="33" spans="1:28" ht="16.5" thickBot="1">
      <c r="A33" s="1" t="s">
        <v>23</v>
      </c>
      <c r="B33" s="36" t="s">
        <v>117</v>
      </c>
      <c r="C33" s="16">
        <v>4.7194000000024383</v>
      </c>
      <c r="D33" s="16"/>
      <c r="E33" s="41">
        <v>4.5534999999988166</v>
      </c>
      <c r="F33" s="16"/>
      <c r="G33" s="16">
        <v>4.1826999999966397</v>
      </c>
      <c r="H33" s="16"/>
      <c r="I33" s="16">
        <v>4.6641000000012314</v>
      </c>
      <c r="J33" s="16"/>
      <c r="K33" s="16">
        <v>146.65820000000249</v>
      </c>
      <c r="L33" s="16"/>
      <c r="M33" s="16">
        <v>246.24139999999903</v>
      </c>
      <c r="N33" s="16"/>
      <c r="O33" s="56">
        <v>3405.4301999999989</v>
      </c>
      <c r="P33" s="16"/>
      <c r="Q33" s="16">
        <v>1376.1332000000009</v>
      </c>
      <c r="R33" s="16"/>
      <c r="S33" s="16">
        <v>731.82880000000114</v>
      </c>
      <c r="T33" s="16"/>
      <c r="U33" s="41">
        <v>12.484599999996925</v>
      </c>
      <c r="V33" s="16"/>
      <c r="W33" s="41">
        <v>5.1880999999997126</v>
      </c>
      <c r="X33" s="16">
        <v>-6000</v>
      </c>
      <c r="Y33" s="41">
        <v>5.2393000000042038</v>
      </c>
      <c r="Z33" s="16"/>
      <c r="AA33" s="4"/>
      <c r="AB33" s="42">
        <f t="shared" si="0"/>
        <v>-52.676499999997375</v>
      </c>
    </row>
    <row r="34" spans="1:28" ht="16.5" thickBot="1">
      <c r="A34" s="1" t="s">
        <v>24</v>
      </c>
      <c r="B34" s="36" t="s">
        <v>118</v>
      </c>
      <c r="C34" s="16">
        <v>4.0331000000000294</v>
      </c>
      <c r="D34" s="16"/>
      <c r="E34" s="41">
        <v>4.0331000000000294</v>
      </c>
      <c r="F34" s="16"/>
      <c r="G34" s="16">
        <v>3.6623000000003669</v>
      </c>
      <c r="H34" s="16"/>
      <c r="I34" s="16">
        <v>4.1078999999999617</v>
      </c>
      <c r="J34" s="16"/>
      <c r="K34" s="16">
        <v>82.294099999999759</v>
      </c>
      <c r="L34" s="16"/>
      <c r="M34" s="16">
        <v>215.2148999999998</v>
      </c>
      <c r="N34" s="16">
        <v>-2500</v>
      </c>
      <c r="O34" s="56">
        <v>103.65760000000023</v>
      </c>
      <c r="P34" s="16"/>
      <c r="Q34" s="16">
        <v>329.94199999999978</v>
      </c>
      <c r="R34" s="16"/>
      <c r="S34" s="16">
        <v>433.12379999999962</v>
      </c>
      <c r="T34" s="16">
        <v>-2000</v>
      </c>
      <c r="U34" s="41">
        <v>177.80340000000049</v>
      </c>
      <c r="V34" s="16"/>
      <c r="W34" s="41">
        <v>3.5802999999998564</v>
      </c>
      <c r="X34" s="16"/>
      <c r="Y34" s="41">
        <v>4.6546000000004355</v>
      </c>
      <c r="Z34" s="16"/>
      <c r="AA34" s="4"/>
      <c r="AB34" s="42">
        <f t="shared" si="0"/>
        <v>-3133.8928999999989</v>
      </c>
    </row>
    <row r="35" spans="1:28" ht="16.5" thickBot="1">
      <c r="A35" s="1" t="s">
        <v>25</v>
      </c>
      <c r="B35" s="36" t="s">
        <v>119</v>
      </c>
      <c r="C35" s="16">
        <v>0</v>
      </c>
      <c r="D35" s="16"/>
      <c r="E35" s="41">
        <v>0</v>
      </c>
      <c r="F35" s="16"/>
      <c r="G35" s="16">
        <v>0</v>
      </c>
      <c r="H35" s="16"/>
      <c r="I35" s="16">
        <v>0</v>
      </c>
      <c r="J35" s="16"/>
      <c r="K35" s="16">
        <v>8.1844000000001014</v>
      </c>
      <c r="L35" s="16"/>
      <c r="M35" s="16">
        <v>272.17450000000014</v>
      </c>
      <c r="N35" s="16"/>
      <c r="O35" s="56">
        <v>662.67509999999857</v>
      </c>
      <c r="P35" s="16"/>
      <c r="Q35" s="16">
        <v>267.00030000000197</v>
      </c>
      <c r="R35" s="16"/>
      <c r="S35" s="16">
        <v>234.39339999999862</v>
      </c>
      <c r="T35" s="16"/>
      <c r="U35" s="41">
        <v>13.019100000000133</v>
      </c>
      <c r="V35" s="16"/>
      <c r="W35" s="41">
        <v>0</v>
      </c>
      <c r="X35" s="16">
        <v>-1082.95</v>
      </c>
      <c r="Y35" s="41">
        <v>0</v>
      </c>
      <c r="Z35" s="16"/>
      <c r="AA35" s="4"/>
      <c r="AB35" s="42">
        <f t="shared" si="0"/>
        <v>374.49679999999944</v>
      </c>
    </row>
    <row r="36" spans="1:28" ht="16.5" thickBot="1">
      <c r="A36" s="1" t="s">
        <v>193</v>
      </c>
      <c r="B36" s="36" t="s">
        <v>192</v>
      </c>
      <c r="C36" s="16">
        <v>0</v>
      </c>
      <c r="D36" s="16">
        <v>-724.21</v>
      </c>
      <c r="E36" s="41">
        <v>0</v>
      </c>
      <c r="F36" s="16"/>
      <c r="G36" s="16">
        <v>0</v>
      </c>
      <c r="H36" s="16"/>
      <c r="I36" s="16">
        <v>0</v>
      </c>
      <c r="J36" s="16"/>
      <c r="K36" s="16">
        <v>0</v>
      </c>
      <c r="L36" s="16"/>
      <c r="M36" s="16">
        <v>0</v>
      </c>
      <c r="N36" s="16"/>
      <c r="O36" s="56">
        <v>22.469499999999581</v>
      </c>
      <c r="P36" s="16"/>
      <c r="Q36" s="16">
        <v>318.91580000000044</v>
      </c>
      <c r="R36" s="16"/>
      <c r="S36" s="16">
        <v>20.05959999999973</v>
      </c>
      <c r="T36" s="16"/>
      <c r="U36" s="41">
        <v>0</v>
      </c>
      <c r="V36" s="16"/>
      <c r="W36" s="41">
        <v>0</v>
      </c>
      <c r="X36" s="16">
        <v>-289</v>
      </c>
      <c r="Y36" s="41">
        <v>0</v>
      </c>
      <c r="Z36" s="16"/>
      <c r="AA36" s="4"/>
      <c r="AB36" s="42">
        <f t="shared" si="0"/>
        <v>-651.7651000000003</v>
      </c>
    </row>
    <row r="37" spans="1:28" ht="16.5" thickBot="1">
      <c r="A37" s="1" t="s">
        <v>26</v>
      </c>
      <c r="B37" s="36" t="s">
        <v>120</v>
      </c>
      <c r="C37" s="16">
        <v>4.2185000000003789</v>
      </c>
      <c r="D37" s="16"/>
      <c r="E37" s="41">
        <v>4.2379999999993254</v>
      </c>
      <c r="F37" s="16"/>
      <c r="G37" s="16">
        <v>3.8835000000006836</v>
      </c>
      <c r="H37" s="16"/>
      <c r="I37" s="16">
        <v>4.2379999999993254</v>
      </c>
      <c r="J37" s="16"/>
      <c r="K37" s="16">
        <v>172.51570000000092</v>
      </c>
      <c r="L37" s="16"/>
      <c r="M37" s="16">
        <v>232.40899999999931</v>
      </c>
      <c r="N37" s="16"/>
      <c r="O37" s="56">
        <v>374.74790000000058</v>
      </c>
      <c r="P37" s="16"/>
      <c r="Q37" s="16">
        <v>275.27069999999952</v>
      </c>
      <c r="R37" s="16"/>
      <c r="S37" s="16">
        <v>190.86369999999999</v>
      </c>
      <c r="T37" s="16"/>
      <c r="U37" s="41">
        <v>29.704700000000759</v>
      </c>
      <c r="V37" s="16"/>
      <c r="W37" s="41">
        <v>3.9120999999995547</v>
      </c>
      <c r="X37" s="16">
        <v>-1630.31</v>
      </c>
      <c r="Y37" s="41">
        <v>4.8495000000002584</v>
      </c>
      <c r="Z37" s="16"/>
      <c r="AA37" s="4"/>
      <c r="AB37" s="42">
        <f t="shared" si="0"/>
        <v>-329.45869999999923</v>
      </c>
    </row>
    <row r="38" spans="1:28" ht="16.5" thickBot="1">
      <c r="A38" s="1" t="s">
        <v>27</v>
      </c>
      <c r="B38" s="36" t="s">
        <v>121</v>
      </c>
      <c r="C38" s="16">
        <v>0</v>
      </c>
      <c r="D38" s="16"/>
      <c r="E38" s="41">
        <v>0</v>
      </c>
      <c r="F38" s="16"/>
      <c r="G38" s="16">
        <v>0</v>
      </c>
      <c r="H38" s="16"/>
      <c r="I38" s="16">
        <v>0</v>
      </c>
      <c r="J38" s="16"/>
      <c r="K38" s="16">
        <v>0.96600000000017539</v>
      </c>
      <c r="L38" s="16"/>
      <c r="M38" s="16">
        <v>101.76569999999984</v>
      </c>
      <c r="N38" s="16">
        <v>-300</v>
      </c>
      <c r="O38" s="56">
        <v>184.04610000000008</v>
      </c>
      <c r="P38" s="16"/>
      <c r="Q38" s="16">
        <v>4.0071999999997976</v>
      </c>
      <c r="R38" s="16"/>
      <c r="S38" s="16">
        <v>4.9284000000001864</v>
      </c>
      <c r="T38" s="16"/>
      <c r="U38" s="41">
        <v>4.654600000000106</v>
      </c>
      <c r="V38" s="16"/>
      <c r="W38" s="41">
        <v>4.1858999999999646</v>
      </c>
      <c r="X38" s="16"/>
      <c r="Y38" s="41">
        <v>5.3390999999998137</v>
      </c>
      <c r="Z38" s="16"/>
      <c r="AA38" s="4"/>
      <c r="AB38" s="42">
        <f t="shared" si="0"/>
        <v>9.8929999999999687</v>
      </c>
    </row>
    <row r="39" spans="1:28" ht="16.5" thickBot="1">
      <c r="A39" s="1" t="s">
        <v>28</v>
      </c>
      <c r="B39" s="36" t="s">
        <v>122</v>
      </c>
      <c r="C39" s="16">
        <v>0</v>
      </c>
      <c r="D39" s="16"/>
      <c r="E39" s="41">
        <v>0</v>
      </c>
      <c r="F39" s="16"/>
      <c r="G39" s="16">
        <v>0</v>
      </c>
      <c r="H39" s="16"/>
      <c r="I39" s="16">
        <v>0</v>
      </c>
      <c r="J39" s="16"/>
      <c r="K39" s="16">
        <v>25.645500000000002</v>
      </c>
      <c r="L39" s="16">
        <v>-284.79000000000002</v>
      </c>
      <c r="M39" s="16">
        <v>0</v>
      </c>
      <c r="N39" s="16"/>
      <c r="O39" s="56">
        <v>183.06020000000004</v>
      </c>
      <c r="P39" s="16"/>
      <c r="Q39" s="16">
        <v>64.788000000000011</v>
      </c>
      <c r="R39" s="16"/>
      <c r="S39" s="16">
        <v>78.265000000000001</v>
      </c>
      <c r="T39" s="16"/>
      <c r="U39" s="41">
        <v>1.8559999999999603</v>
      </c>
      <c r="V39" s="16"/>
      <c r="W39" s="41">
        <v>15.486000000000091</v>
      </c>
      <c r="X39" s="16">
        <v>-369.1</v>
      </c>
      <c r="Y39" s="41">
        <v>7.0435999999999179</v>
      </c>
      <c r="Z39" s="16"/>
      <c r="AA39" s="4"/>
      <c r="AB39" s="42">
        <f t="shared" si="0"/>
        <v>-277.7457</v>
      </c>
    </row>
    <row r="40" spans="1:28" ht="16.5" thickBot="1">
      <c r="A40" s="1" t="s">
        <v>29</v>
      </c>
      <c r="B40" s="36" t="s">
        <v>123</v>
      </c>
      <c r="C40" s="16">
        <v>0</v>
      </c>
      <c r="D40" s="16"/>
      <c r="E40" s="41">
        <v>0</v>
      </c>
      <c r="F40" s="16"/>
      <c r="G40" s="16">
        <v>0</v>
      </c>
      <c r="H40" s="16"/>
      <c r="I40" s="16">
        <v>0</v>
      </c>
      <c r="J40" s="16"/>
      <c r="K40" s="16">
        <v>986.05089999999723</v>
      </c>
      <c r="L40" s="16"/>
      <c r="M40" s="16">
        <v>1680.3165000000022</v>
      </c>
      <c r="N40" s="16"/>
      <c r="O40" s="56">
        <v>1672.1918000000021</v>
      </c>
      <c r="P40" s="16">
        <v>-3318.94</v>
      </c>
      <c r="Q40" s="16">
        <v>822.26679999999999</v>
      </c>
      <c r="R40" s="16"/>
      <c r="S40" s="16">
        <v>1951.5199999999986</v>
      </c>
      <c r="T40" s="16">
        <v>-2455.65</v>
      </c>
      <c r="U40" s="41">
        <v>909.01969999999767</v>
      </c>
      <c r="V40" s="16">
        <v>-2860.54</v>
      </c>
      <c r="W40" s="41">
        <v>0</v>
      </c>
      <c r="X40" s="16"/>
      <c r="Y40" s="41">
        <v>0</v>
      </c>
      <c r="Z40" s="16"/>
      <c r="AA40" s="4"/>
      <c r="AB40" s="42">
        <f t="shared" si="0"/>
        <v>-613.76430000000255</v>
      </c>
    </row>
    <row r="41" spans="1:28" ht="16.5" thickBot="1">
      <c r="A41" s="48" t="s">
        <v>30</v>
      </c>
      <c r="B41" s="47" t="s">
        <v>124</v>
      </c>
      <c r="C41" s="46"/>
      <c r="D41" s="46"/>
      <c r="E41" s="57"/>
      <c r="F41" s="46"/>
      <c r="G41" s="46"/>
      <c r="H41" s="46"/>
      <c r="I41" s="46"/>
      <c r="J41" s="46"/>
      <c r="K41" s="46"/>
      <c r="L41" s="46"/>
      <c r="M41" s="46"/>
      <c r="N41" s="46"/>
      <c r="O41" s="50"/>
      <c r="P41" s="46"/>
      <c r="Q41" s="46"/>
      <c r="R41" s="46"/>
      <c r="S41" s="46"/>
      <c r="T41" s="46"/>
      <c r="U41" s="57"/>
      <c r="V41" s="46"/>
      <c r="W41" s="57"/>
      <c r="X41" s="46"/>
      <c r="Y41" s="57"/>
      <c r="Z41" s="46"/>
      <c r="AA41" s="45"/>
      <c r="AB41" s="42">
        <f t="shared" si="0"/>
        <v>0</v>
      </c>
    </row>
    <row r="42" spans="1:28" ht="16.5" thickBot="1">
      <c r="A42" s="1" t="s">
        <v>31</v>
      </c>
      <c r="B42" s="36" t="s">
        <v>125</v>
      </c>
      <c r="C42" s="16">
        <v>6.6776000000011004</v>
      </c>
      <c r="D42" s="16"/>
      <c r="E42" s="41">
        <v>8.391900000000355</v>
      </c>
      <c r="F42" s="16"/>
      <c r="G42" s="16">
        <v>26.85890000000035</v>
      </c>
      <c r="H42" s="16"/>
      <c r="I42" s="16">
        <v>13.388399999998327</v>
      </c>
      <c r="J42" s="16"/>
      <c r="K42" s="16">
        <v>344.75560000000064</v>
      </c>
      <c r="L42" s="16"/>
      <c r="M42" s="16">
        <v>509.95649999999955</v>
      </c>
      <c r="N42" s="16"/>
      <c r="O42" s="56">
        <v>707.07050000000061</v>
      </c>
      <c r="P42" s="16">
        <v>-600</v>
      </c>
      <c r="Q42" s="16">
        <v>371.8414000000011</v>
      </c>
      <c r="R42" s="16"/>
      <c r="S42" s="16">
        <v>503.64729999999832</v>
      </c>
      <c r="T42" s="16"/>
      <c r="U42" s="41">
        <v>392.72920000000016</v>
      </c>
      <c r="V42" s="16"/>
      <c r="W42" s="41">
        <v>27.348799999999336</v>
      </c>
      <c r="X42" s="16"/>
      <c r="Y42" s="41">
        <v>15.60979999999994</v>
      </c>
      <c r="Z42" s="16"/>
      <c r="AA42" s="4"/>
      <c r="AB42" s="42">
        <f t="shared" si="0"/>
        <v>2328.2758999999996</v>
      </c>
    </row>
    <row r="43" spans="1:28" ht="16.5" thickBot="1">
      <c r="A43" s="1" t="s">
        <v>32</v>
      </c>
      <c r="B43" s="36" t="s">
        <v>126</v>
      </c>
      <c r="C43" s="16">
        <v>11.7837999999969</v>
      </c>
      <c r="D43" s="16"/>
      <c r="E43" s="41">
        <v>11.767500000001574</v>
      </c>
      <c r="F43" s="16"/>
      <c r="G43" s="16">
        <v>10.762500000002415</v>
      </c>
      <c r="H43" s="16"/>
      <c r="I43" s="16">
        <v>11.913899999999741</v>
      </c>
      <c r="J43" s="16"/>
      <c r="K43" s="16">
        <v>515.33609999999885</v>
      </c>
      <c r="L43" s="16"/>
      <c r="M43" s="16">
        <v>1424.8010999999995</v>
      </c>
      <c r="N43" s="16">
        <f>-558.64-1424.8</f>
        <v>-1983.44</v>
      </c>
      <c r="O43" s="56">
        <v>1026.3123000000005</v>
      </c>
      <c r="P43" s="16">
        <v>-1026.31</v>
      </c>
      <c r="Q43" s="16">
        <v>881.05330000000072</v>
      </c>
      <c r="R43" s="16">
        <v>-881.05</v>
      </c>
      <c r="S43" s="16">
        <v>1179.5473000000018</v>
      </c>
      <c r="T43" s="16"/>
      <c r="U43" s="41">
        <v>473.12439999999873</v>
      </c>
      <c r="V43" s="16"/>
      <c r="W43" s="41">
        <v>57.662399999997206</v>
      </c>
      <c r="X43" s="16"/>
      <c r="Y43" s="41">
        <v>13.395300000000741</v>
      </c>
      <c r="Z43" s="16">
        <v>-1179.55</v>
      </c>
      <c r="AA43" s="4"/>
      <c r="AB43" s="42">
        <f t="shared" ref="AB43:AB74" si="1">SUM(C43:AA43)</f>
        <v>547.10989999999879</v>
      </c>
    </row>
    <row r="44" spans="1:28" ht="16.5" thickBot="1">
      <c r="A44" s="48" t="s">
        <v>33</v>
      </c>
      <c r="B44" s="47" t="s">
        <v>127</v>
      </c>
      <c r="C44" s="46"/>
      <c r="D44" s="46"/>
      <c r="E44" s="57"/>
      <c r="F44" s="46"/>
      <c r="G44" s="46"/>
      <c r="H44" s="46"/>
      <c r="I44" s="46"/>
      <c r="J44" s="46"/>
      <c r="K44" s="46"/>
      <c r="L44" s="46"/>
      <c r="M44" s="46"/>
      <c r="N44" s="46"/>
      <c r="O44" s="50"/>
      <c r="P44" s="46"/>
      <c r="Q44" s="46"/>
      <c r="R44" s="46"/>
      <c r="S44" s="46"/>
      <c r="T44" s="46"/>
      <c r="U44" s="57"/>
      <c r="V44" s="46"/>
      <c r="W44" s="57"/>
      <c r="X44" s="46"/>
      <c r="Y44" s="57"/>
      <c r="Z44" s="46"/>
      <c r="AA44" s="45"/>
      <c r="AB44" s="42">
        <f t="shared" si="1"/>
        <v>0</v>
      </c>
    </row>
    <row r="45" spans="1:28" ht="15.75" customHeight="1" thickBot="1">
      <c r="A45" s="1" t="s">
        <v>34</v>
      </c>
      <c r="B45" s="36" t="s">
        <v>128</v>
      </c>
      <c r="C45" s="16">
        <v>12928.855200000002</v>
      </c>
      <c r="D45" s="16">
        <v>-8579.91</v>
      </c>
      <c r="E45" s="41">
        <v>8975.30710000002</v>
      </c>
      <c r="F45" s="16"/>
      <c r="G45" s="16">
        <v>11542.291600000017</v>
      </c>
      <c r="H45" s="16">
        <f>-8975.31-11542.29-12928.86</f>
        <v>-33446.46</v>
      </c>
      <c r="I45" s="16">
        <v>2939.7673999999806</v>
      </c>
      <c r="J45" s="16">
        <v>-2939.77</v>
      </c>
      <c r="K45" s="16">
        <v>9441.8106000000007</v>
      </c>
      <c r="L45" s="16">
        <v>-9441.81</v>
      </c>
      <c r="M45" s="16">
        <v>4842.9806000000171</v>
      </c>
      <c r="N45" s="16">
        <v>-2094.14</v>
      </c>
      <c r="O45" s="56">
        <v>6302.7986999999821</v>
      </c>
      <c r="P45" s="16"/>
      <c r="Q45" s="16">
        <v>2774.6364999999896</v>
      </c>
      <c r="R45" s="16">
        <v>-9077.44</v>
      </c>
      <c r="S45" s="16">
        <v>6139.7891000000127</v>
      </c>
      <c r="T45" s="16"/>
      <c r="U45" s="41">
        <v>10305.235899999978</v>
      </c>
      <c r="V45" s="16">
        <f>-6139.79-10305.24</f>
        <v>-16445.03</v>
      </c>
      <c r="W45" s="41">
        <v>9999.0444000000571</v>
      </c>
      <c r="X45" s="16"/>
      <c r="Y45" s="41">
        <v>10246.355099999939</v>
      </c>
      <c r="Z45" s="16">
        <f>-9999.04-10246.36</f>
        <v>-20245.400000000001</v>
      </c>
      <c r="AA45" s="4"/>
      <c r="AB45" s="42">
        <f t="shared" si="1"/>
        <v>-5831.0878000000012</v>
      </c>
    </row>
    <row r="46" spans="1:28" ht="16.5" thickBot="1">
      <c r="A46" s="1" t="s">
        <v>191</v>
      </c>
      <c r="B46" s="36" t="s">
        <v>190</v>
      </c>
      <c r="C46" s="16">
        <v>4.5535000000013319</v>
      </c>
      <c r="D46" s="16"/>
      <c r="E46" s="41">
        <v>4.5534999999997039</v>
      </c>
      <c r="F46" s="16"/>
      <c r="G46" s="16">
        <v>4.2184999999999357</v>
      </c>
      <c r="H46" s="16"/>
      <c r="I46" s="16">
        <v>4.6640999999996033</v>
      </c>
      <c r="J46" s="16"/>
      <c r="K46" s="16">
        <v>4.8332000000006339</v>
      </c>
      <c r="L46" s="16"/>
      <c r="M46" s="16">
        <v>16.901700000000162</v>
      </c>
      <c r="N46" s="16"/>
      <c r="O46" s="56">
        <v>40.759199999999701</v>
      </c>
      <c r="P46" s="16"/>
      <c r="Q46" s="16">
        <v>141.6833000000012</v>
      </c>
      <c r="R46" s="16"/>
      <c r="S46" s="16">
        <v>2057.7059999999988</v>
      </c>
      <c r="T46" s="16"/>
      <c r="U46" s="41">
        <v>3.0697999999994767</v>
      </c>
      <c r="V46" s="16"/>
      <c r="W46" s="41">
        <v>0</v>
      </c>
      <c r="X46" s="16"/>
      <c r="Y46" s="41">
        <v>0</v>
      </c>
      <c r="Z46" s="16"/>
      <c r="AA46" s="4"/>
      <c r="AB46" s="42">
        <f t="shared" si="1"/>
        <v>2282.9428000000003</v>
      </c>
    </row>
    <row r="47" spans="1:28" ht="16.5" thickBot="1">
      <c r="A47" s="1" t="s">
        <v>35</v>
      </c>
      <c r="B47" s="36" t="s">
        <v>189</v>
      </c>
      <c r="C47" s="16">
        <v>0</v>
      </c>
      <c r="D47" s="16"/>
      <c r="E47" s="41">
        <v>0</v>
      </c>
      <c r="F47" s="16"/>
      <c r="G47" s="16">
        <v>0</v>
      </c>
      <c r="H47" s="16"/>
      <c r="I47" s="16">
        <v>0</v>
      </c>
      <c r="J47" s="16"/>
      <c r="K47" s="16">
        <v>0</v>
      </c>
      <c r="L47" s="16"/>
      <c r="M47" s="16">
        <v>12.276599999999995</v>
      </c>
      <c r="N47" s="16"/>
      <c r="O47" s="56">
        <v>0</v>
      </c>
      <c r="P47" s="16"/>
      <c r="Q47" s="16">
        <v>15.363200000000022</v>
      </c>
      <c r="R47" s="16"/>
      <c r="S47" s="16">
        <v>12.326299999999952</v>
      </c>
      <c r="T47" s="16"/>
      <c r="U47" s="41">
        <v>0.35270000000006829</v>
      </c>
      <c r="V47" s="16"/>
      <c r="W47" s="41">
        <v>0</v>
      </c>
      <c r="X47" s="16"/>
      <c r="Y47" s="41">
        <v>0</v>
      </c>
      <c r="Z47" s="16"/>
      <c r="AA47" s="4"/>
      <c r="AB47" s="42">
        <f t="shared" si="1"/>
        <v>40.318800000000039</v>
      </c>
    </row>
    <row r="48" spans="1:28" ht="16.5" thickBot="1">
      <c r="A48" s="1" t="s">
        <v>36</v>
      </c>
      <c r="B48" s="36" t="s">
        <v>172</v>
      </c>
      <c r="C48" s="16">
        <v>4634.3604000000123</v>
      </c>
      <c r="D48" s="16">
        <v>-4700</v>
      </c>
      <c r="E48" s="41">
        <v>31226.948100000012</v>
      </c>
      <c r="F48" s="16"/>
      <c r="G48" s="16">
        <v>4999.8847999999862</v>
      </c>
      <c r="H48" s="16">
        <v>-31230</v>
      </c>
      <c r="I48" s="16">
        <v>1202.5773000000195</v>
      </c>
      <c r="J48" s="16">
        <f>-5000-1205</f>
        <v>-6205</v>
      </c>
      <c r="K48" s="16">
        <v>1252.823899999948</v>
      </c>
      <c r="L48" s="16">
        <v>-1255</v>
      </c>
      <c r="M48" s="16">
        <v>1315.2018000000012</v>
      </c>
      <c r="N48" s="16">
        <v>-1320</v>
      </c>
      <c r="O48" s="56">
        <v>1581.1426999999976</v>
      </c>
      <c r="P48" s="16">
        <v>-1585</v>
      </c>
      <c r="Q48" s="16">
        <v>904.9164000000751</v>
      </c>
      <c r="R48" s="16">
        <v>-905</v>
      </c>
      <c r="S48" s="16">
        <v>1363.3106000000021</v>
      </c>
      <c r="T48" s="16">
        <v>-1365</v>
      </c>
      <c r="U48" s="41">
        <v>2485.9970999999614</v>
      </c>
      <c r="V48" s="16">
        <v>-2490</v>
      </c>
      <c r="W48" s="41">
        <v>1484.3512999999994</v>
      </c>
      <c r="X48" s="16">
        <v>-1485</v>
      </c>
      <c r="Y48" s="41">
        <v>1712.186599999975</v>
      </c>
      <c r="Z48" s="16">
        <v>-1715</v>
      </c>
      <c r="AA48" s="4"/>
      <c r="AB48" s="42">
        <f t="shared" si="1"/>
        <v>-91.299000000007709</v>
      </c>
    </row>
    <row r="49" spans="1:28" ht="16.5" thickBot="1">
      <c r="A49" s="1" t="s">
        <v>37</v>
      </c>
      <c r="B49" s="36" t="s">
        <v>129</v>
      </c>
      <c r="C49" s="16">
        <v>13.530399999999528</v>
      </c>
      <c r="D49" s="16"/>
      <c r="E49" s="41">
        <v>13.475100000000836</v>
      </c>
      <c r="F49" s="16"/>
      <c r="G49" s="16">
        <v>12.248900000000692</v>
      </c>
      <c r="H49" s="16"/>
      <c r="I49" s="16">
        <v>13.605199999998201</v>
      </c>
      <c r="J49" s="16"/>
      <c r="K49" s="16">
        <v>193.96559999999991</v>
      </c>
      <c r="L49" s="16"/>
      <c r="M49" s="16">
        <v>352.45930000000135</v>
      </c>
      <c r="N49" s="16">
        <f>-69.96-352.4</f>
        <v>-422.35999999999996</v>
      </c>
      <c r="O49" s="56">
        <v>768.4878999999994</v>
      </c>
      <c r="P49" s="16"/>
      <c r="Q49" s="16">
        <v>338.34689999999995</v>
      </c>
      <c r="R49" s="16"/>
      <c r="S49" s="16">
        <v>710.49630000000047</v>
      </c>
      <c r="T49" s="16"/>
      <c r="U49" s="41">
        <v>465.91499999999803</v>
      </c>
      <c r="V49" s="16"/>
      <c r="W49" s="41">
        <v>8.2929000000004773</v>
      </c>
      <c r="X49" s="16">
        <f>-1106.85-1176.42</f>
        <v>-2283.27</v>
      </c>
      <c r="Y49" s="41">
        <v>10.499499999999788</v>
      </c>
      <c r="Z49" s="16"/>
      <c r="AA49" s="4"/>
      <c r="AB49" s="42">
        <f t="shared" si="1"/>
        <v>195.69299999999873</v>
      </c>
    </row>
    <row r="50" spans="1:28" ht="16.5" thickBot="1">
      <c r="A50" s="1" t="s">
        <v>38</v>
      </c>
      <c r="B50" s="36" t="s">
        <v>130</v>
      </c>
      <c r="C50" s="16">
        <v>0</v>
      </c>
      <c r="D50" s="16"/>
      <c r="E50" s="41">
        <v>0</v>
      </c>
      <c r="F50" s="16"/>
      <c r="G50" s="16">
        <v>0</v>
      </c>
      <c r="H50" s="16"/>
      <c r="I50" s="16">
        <v>0</v>
      </c>
      <c r="J50" s="16"/>
      <c r="K50" s="16">
        <v>0</v>
      </c>
      <c r="L50" s="16"/>
      <c r="M50" s="16">
        <v>0</v>
      </c>
      <c r="N50" s="16"/>
      <c r="O50" s="56">
        <v>0</v>
      </c>
      <c r="P50" s="16"/>
      <c r="Q50" s="16">
        <v>0</v>
      </c>
      <c r="R50" s="16"/>
      <c r="S50" s="16">
        <v>0.11599999999989449</v>
      </c>
      <c r="T50" s="16"/>
      <c r="U50" s="41">
        <v>0</v>
      </c>
      <c r="V50" s="16"/>
      <c r="W50" s="41">
        <v>0</v>
      </c>
      <c r="X50" s="16"/>
      <c r="Y50" s="41">
        <v>0</v>
      </c>
      <c r="Z50" s="16"/>
      <c r="AA50" s="4"/>
      <c r="AB50" s="42">
        <f t="shared" si="1"/>
        <v>0.11599999999989449</v>
      </c>
    </row>
    <row r="51" spans="1:28" ht="16.5" thickBot="1">
      <c r="A51" s="1" t="s">
        <v>39</v>
      </c>
      <c r="B51" s="36" t="s">
        <v>131</v>
      </c>
      <c r="C51" s="16">
        <v>3.7176000000000533</v>
      </c>
      <c r="D51" s="16"/>
      <c r="E51" s="41">
        <v>3.7728999999999755</v>
      </c>
      <c r="F51" s="16"/>
      <c r="G51" s="16">
        <v>3.4574000000000265</v>
      </c>
      <c r="H51" s="16"/>
      <c r="I51" s="16">
        <v>3.9029999999999632</v>
      </c>
      <c r="J51" s="16"/>
      <c r="K51" s="16">
        <v>3.8087000000000208</v>
      </c>
      <c r="L51" s="16"/>
      <c r="M51" s="16">
        <v>3.5321999999999583</v>
      </c>
      <c r="N51" s="16"/>
      <c r="O51" s="56">
        <v>4.675500000000028</v>
      </c>
      <c r="P51" s="16"/>
      <c r="Q51" s="16">
        <v>3.1486999999999719</v>
      </c>
      <c r="R51" s="16"/>
      <c r="S51" s="16">
        <v>3.8540999999999963</v>
      </c>
      <c r="T51" s="16"/>
      <c r="U51" s="41">
        <v>3.6592000000000091</v>
      </c>
      <c r="V51" s="16"/>
      <c r="W51" s="41">
        <v>3.2856000000000418</v>
      </c>
      <c r="X51" s="16"/>
      <c r="Y51" s="41">
        <v>4.1649999999999903</v>
      </c>
      <c r="Z51" s="16"/>
      <c r="AA51" s="4"/>
      <c r="AB51" s="42">
        <f t="shared" si="1"/>
        <v>44.979900000000043</v>
      </c>
    </row>
    <row r="52" spans="1:28" ht="16.5" thickBot="1">
      <c r="A52" s="1" t="s">
        <v>40</v>
      </c>
      <c r="B52" s="36" t="s">
        <v>132</v>
      </c>
      <c r="C52" s="16">
        <v>4.8136999999990238</v>
      </c>
      <c r="D52" s="16"/>
      <c r="E52" s="41">
        <v>4.7388999999999051</v>
      </c>
      <c r="F52" s="16"/>
      <c r="G52" s="16">
        <v>4.3681000000002435</v>
      </c>
      <c r="H52" s="16"/>
      <c r="I52" s="16">
        <v>4.8885000000002128</v>
      </c>
      <c r="J52" s="16"/>
      <c r="K52" s="16">
        <v>419.3046000000009</v>
      </c>
      <c r="L52" s="16"/>
      <c r="M52" s="16">
        <v>604.63309999999854</v>
      </c>
      <c r="N52" s="16"/>
      <c r="O52" s="56">
        <v>1585.9916000000003</v>
      </c>
      <c r="P52" s="16"/>
      <c r="Q52" s="16">
        <v>615.75410000000011</v>
      </c>
      <c r="R52" s="16">
        <v>-4062</v>
      </c>
      <c r="S52" s="16">
        <v>965.66029999999932</v>
      </c>
      <c r="T52" s="16">
        <v>-965.66</v>
      </c>
      <c r="U52" s="41">
        <v>161.58680000000123</v>
      </c>
      <c r="V52" s="16"/>
      <c r="W52" s="41">
        <v>4.3228000000005</v>
      </c>
      <c r="X52" s="16"/>
      <c r="Y52" s="41">
        <v>7.3460999999982253</v>
      </c>
      <c r="Z52" s="16"/>
      <c r="AA52" s="4"/>
      <c r="AB52" s="42">
        <f t="shared" si="1"/>
        <v>-644.25140000000147</v>
      </c>
    </row>
    <row r="53" spans="1:28" ht="16.5" thickBot="1">
      <c r="A53" s="1" t="s">
        <v>41</v>
      </c>
      <c r="B53" s="36" t="s">
        <v>133</v>
      </c>
      <c r="C53" s="16">
        <v>4147.160700000004</v>
      </c>
      <c r="D53" s="16">
        <v>-4196.1099999999997</v>
      </c>
      <c r="E53" s="41">
        <v>30.617200000000924</v>
      </c>
      <c r="F53" s="16">
        <v>-3000</v>
      </c>
      <c r="G53" s="16">
        <v>1598.5340999999985</v>
      </c>
      <c r="H53" s="16"/>
      <c r="I53" s="16">
        <v>20.16550000000414</v>
      </c>
      <c r="J53" s="16">
        <v>-1629.15</v>
      </c>
      <c r="K53" s="16">
        <v>1774.3175999999955</v>
      </c>
      <c r="L53" s="16"/>
      <c r="M53" s="16">
        <v>867.430899999997</v>
      </c>
      <c r="N53" s="16">
        <v>-2661.92</v>
      </c>
      <c r="O53" s="56">
        <v>1654.6286000000057</v>
      </c>
      <c r="P53" s="16"/>
      <c r="Q53" s="16">
        <v>1053.1348000000021</v>
      </c>
      <c r="R53" s="16"/>
      <c r="S53" s="16">
        <v>1938.2940999999955</v>
      </c>
      <c r="T53" s="16"/>
      <c r="U53" s="41">
        <v>1151.2987999999959</v>
      </c>
      <c r="V53" s="16"/>
      <c r="W53" s="41">
        <v>2001.6594999999984</v>
      </c>
      <c r="X53" s="16">
        <v>-5797.35</v>
      </c>
      <c r="Y53" s="41">
        <v>2338.6488000000018</v>
      </c>
      <c r="Z53" s="16">
        <v>-4340.3100000000004</v>
      </c>
      <c r="AA53" s="4"/>
      <c r="AB53" s="42">
        <f t="shared" si="1"/>
        <v>-3048.9494000000013</v>
      </c>
    </row>
    <row r="54" spans="1:28" ht="16.5" thickBot="1">
      <c r="A54" s="1" t="s">
        <v>42</v>
      </c>
      <c r="B54" s="36" t="s">
        <v>189</v>
      </c>
      <c r="C54" s="16">
        <v>4.4982000000035258</v>
      </c>
      <c r="D54" s="16"/>
      <c r="E54" s="41">
        <v>4.4981999999934672</v>
      </c>
      <c r="F54" s="16"/>
      <c r="G54" s="16">
        <v>4.1274000000054913</v>
      </c>
      <c r="H54" s="16"/>
      <c r="I54" s="16">
        <v>4.5534999999929004</v>
      </c>
      <c r="J54" s="16"/>
      <c r="K54" s="16">
        <v>10.103000000005158</v>
      </c>
      <c r="L54" s="16"/>
      <c r="M54" s="16">
        <v>469.07930000000033</v>
      </c>
      <c r="N54" s="16"/>
      <c r="O54" s="56">
        <v>1460.3105000000007</v>
      </c>
      <c r="P54" s="16"/>
      <c r="Q54" s="16">
        <v>1119.3333999999959</v>
      </c>
      <c r="R54" s="16"/>
      <c r="S54" s="16">
        <v>2557.032700000002</v>
      </c>
      <c r="T54" s="16"/>
      <c r="U54" s="41">
        <v>1074.4733999999962</v>
      </c>
      <c r="V54" s="16">
        <v>-5136</v>
      </c>
      <c r="W54" s="41">
        <v>0</v>
      </c>
      <c r="X54" s="16"/>
      <c r="Y54" s="41">
        <v>0</v>
      </c>
      <c r="Z54" s="16"/>
      <c r="AA54" s="4"/>
      <c r="AB54" s="42">
        <f t="shared" si="1"/>
        <v>1572.0095999999958</v>
      </c>
    </row>
    <row r="55" spans="1:28" ht="16.5" thickBot="1">
      <c r="A55" s="1" t="s">
        <v>43</v>
      </c>
      <c r="B55" s="36" t="s">
        <v>214</v>
      </c>
      <c r="C55" s="16">
        <v>0.7806000000000296</v>
      </c>
      <c r="D55" s="16"/>
      <c r="E55" s="41">
        <v>0.59519999999956952</v>
      </c>
      <c r="F55" s="16"/>
      <c r="G55" s="16">
        <v>0.65050000000009245</v>
      </c>
      <c r="H55" s="16"/>
      <c r="I55" s="16">
        <v>0.59520000000019824</v>
      </c>
      <c r="J55" s="16"/>
      <c r="K55" s="16">
        <v>0.65050000000009245</v>
      </c>
      <c r="L55" s="16"/>
      <c r="M55" s="16">
        <v>76.725400000000022</v>
      </c>
      <c r="N55" s="16"/>
      <c r="O55" s="56">
        <v>345.24059999999986</v>
      </c>
      <c r="P55" s="16"/>
      <c r="Q55" s="16">
        <v>272.34469999999999</v>
      </c>
      <c r="R55" s="16"/>
      <c r="S55" s="16">
        <v>201.00339999999986</v>
      </c>
      <c r="T55" s="16">
        <v>-895.96</v>
      </c>
      <c r="U55" s="41">
        <v>0.68450000000009625</v>
      </c>
      <c r="V55" s="16"/>
      <c r="W55" s="41">
        <v>0.6056000000002274</v>
      </c>
      <c r="X55" s="16"/>
      <c r="Y55" s="41">
        <v>0.80049999999999077</v>
      </c>
      <c r="Z55" s="16"/>
      <c r="AA55" s="4"/>
      <c r="AB55" s="42">
        <f t="shared" si="1"/>
        <v>4.7166999999999248</v>
      </c>
    </row>
    <row r="56" spans="1:28" ht="16.5" thickBot="1">
      <c r="A56" s="48" t="s">
        <v>44</v>
      </c>
      <c r="B56" s="47" t="s">
        <v>136</v>
      </c>
      <c r="C56" s="46"/>
      <c r="D56" s="46"/>
      <c r="E56" s="57"/>
      <c r="F56" s="46"/>
      <c r="G56" s="46"/>
      <c r="H56" s="46"/>
      <c r="I56" s="46"/>
      <c r="J56" s="46"/>
      <c r="K56" s="46"/>
      <c r="L56" s="46"/>
      <c r="M56" s="46"/>
      <c r="N56" s="46"/>
      <c r="O56" s="50"/>
      <c r="P56" s="46"/>
      <c r="Q56" s="46"/>
      <c r="R56" s="46"/>
      <c r="S56" s="46"/>
      <c r="T56" s="46"/>
      <c r="U56" s="57"/>
      <c r="V56" s="46"/>
      <c r="W56" s="57"/>
      <c r="X56" s="46"/>
      <c r="Y56" s="57"/>
      <c r="Z56" s="46"/>
      <c r="AA56" s="45"/>
      <c r="AB56" s="42">
        <f t="shared" si="1"/>
        <v>0</v>
      </c>
    </row>
    <row r="57" spans="1:28" s="68" customFormat="1" ht="16.5" thickBot="1">
      <c r="A57" s="48" t="s">
        <v>45</v>
      </c>
      <c r="B57" s="47" t="s">
        <v>137</v>
      </c>
      <c r="C57" s="46"/>
      <c r="D57" s="46"/>
      <c r="E57" s="57"/>
      <c r="F57" s="46"/>
      <c r="G57" s="46"/>
      <c r="H57" s="46"/>
      <c r="I57" s="46"/>
      <c r="J57" s="46"/>
      <c r="K57" s="46"/>
      <c r="L57" s="46"/>
      <c r="M57" s="46"/>
      <c r="N57" s="46"/>
      <c r="O57" s="50"/>
      <c r="P57" s="46"/>
      <c r="Q57" s="46"/>
      <c r="R57" s="46"/>
      <c r="S57" s="46"/>
      <c r="T57" s="46"/>
      <c r="U57" s="57"/>
      <c r="V57" s="46"/>
      <c r="W57" s="57"/>
      <c r="X57" s="46"/>
      <c r="Y57" s="57"/>
      <c r="Z57" s="46"/>
      <c r="AA57" s="45"/>
      <c r="AB57" s="42">
        <f t="shared" si="1"/>
        <v>0</v>
      </c>
    </row>
    <row r="58" spans="1:28" ht="16.5" thickBot="1">
      <c r="A58" s="64" t="s">
        <v>46</v>
      </c>
      <c r="B58" s="36" t="s">
        <v>138</v>
      </c>
      <c r="C58" s="16">
        <v>0</v>
      </c>
      <c r="D58" s="16"/>
      <c r="E58" s="41">
        <v>0</v>
      </c>
      <c r="F58" s="16"/>
      <c r="G58" s="16">
        <v>0</v>
      </c>
      <c r="H58" s="16"/>
      <c r="I58" s="16">
        <v>0</v>
      </c>
      <c r="J58" s="16"/>
      <c r="K58" s="16">
        <v>0</v>
      </c>
      <c r="L58" s="16"/>
      <c r="M58" s="16">
        <v>0</v>
      </c>
      <c r="N58" s="16"/>
      <c r="O58" s="56">
        <v>0</v>
      </c>
      <c r="P58" s="16"/>
      <c r="Q58" s="16">
        <v>603.81520000000103</v>
      </c>
      <c r="R58" s="16"/>
      <c r="S58" s="16">
        <v>921.11340000000075</v>
      </c>
      <c r="T58" s="16"/>
      <c r="U58" s="41">
        <v>0</v>
      </c>
      <c r="V58" s="16"/>
      <c r="W58" s="41">
        <v>0</v>
      </c>
      <c r="X58" s="16"/>
      <c r="Y58" s="41">
        <v>0</v>
      </c>
      <c r="Z58" s="16"/>
      <c r="AA58" s="4"/>
      <c r="AB58" s="42">
        <f t="shared" si="1"/>
        <v>1524.9286000000018</v>
      </c>
    </row>
    <row r="59" spans="1:28" ht="16.5" thickBot="1">
      <c r="A59" s="64" t="s">
        <v>47</v>
      </c>
      <c r="B59" s="37" t="s">
        <v>139</v>
      </c>
      <c r="C59" s="16">
        <v>44.367100000000477</v>
      </c>
      <c r="D59" s="16"/>
      <c r="E59" s="41">
        <v>78.643500000000742</v>
      </c>
      <c r="F59" s="16"/>
      <c r="G59" s="16">
        <v>38.54229999999815</v>
      </c>
      <c r="H59" s="16"/>
      <c r="I59" s="16">
        <v>45.007099999999078</v>
      </c>
      <c r="J59" s="16"/>
      <c r="K59" s="16">
        <v>71.628800000000908</v>
      </c>
      <c r="L59" s="16"/>
      <c r="M59" s="16">
        <v>37.595999999999606</v>
      </c>
      <c r="N59" s="16"/>
      <c r="O59" s="56">
        <v>1103.3198999999997</v>
      </c>
      <c r="P59" s="16"/>
      <c r="Q59" s="16">
        <v>386.7513000000003</v>
      </c>
      <c r="R59" s="16">
        <v>-1103.32</v>
      </c>
      <c r="S59" s="16">
        <v>271.83940000000194</v>
      </c>
      <c r="T59" s="16">
        <f>-386.75-3405.65</f>
        <v>-3792.4</v>
      </c>
      <c r="U59" s="41">
        <v>515.52479999999935</v>
      </c>
      <c r="V59" s="16"/>
      <c r="W59" s="41">
        <v>221.52809999999982</v>
      </c>
      <c r="X59" s="16"/>
      <c r="Y59" s="41">
        <v>58.050499999999317</v>
      </c>
      <c r="Z59" s="16"/>
      <c r="AA59" s="4"/>
      <c r="AB59" s="42">
        <f t="shared" si="1"/>
        <v>-2022.9212000000002</v>
      </c>
    </row>
    <row r="60" spans="1:28" ht="16.5" thickBot="1">
      <c r="A60" s="1" t="s">
        <v>48</v>
      </c>
      <c r="B60" s="36" t="s">
        <v>140</v>
      </c>
      <c r="C60" s="16">
        <v>4.478700000000142</v>
      </c>
      <c r="D60" s="16"/>
      <c r="E60" s="41">
        <v>4.3128000000015501</v>
      </c>
      <c r="F60" s="16"/>
      <c r="G60" s="16">
        <v>4.0330999999997337</v>
      </c>
      <c r="H60" s="16"/>
      <c r="I60" s="16">
        <v>4.3681000000002435</v>
      </c>
      <c r="J60" s="16"/>
      <c r="K60" s="16">
        <v>9.5499999999993026</v>
      </c>
      <c r="L60" s="16"/>
      <c r="M60" s="16">
        <v>543.34299999999951</v>
      </c>
      <c r="N60" s="16"/>
      <c r="O60" s="56">
        <v>1093.5026000000014</v>
      </c>
      <c r="P60" s="16"/>
      <c r="Q60" s="16">
        <v>745.14469999999869</v>
      </c>
      <c r="R60" s="16"/>
      <c r="S60" s="16">
        <v>938.88460000000111</v>
      </c>
      <c r="T60" s="16">
        <v>-5000</v>
      </c>
      <c r="U60" s="41">
        <v>4.4016999999991091</v>
      </c>
      <c r="V60" s="16"/>
      <c r="W60" s="41">
        <v>3.9121000000013488</v>
      </c>
      <c r="X60" s="16"/>
      <c r="Y60" s="41">
        <v>5.0652999999985058</v>
      </c>
      <c r="Z60" s="16"/>
      <c r="AA60" s="4"/>
      <c r="AB60" s="42">
        <f t="shared" si="1"/>
        <v>-1639.0032999999994</v>
      </c>
    </row>
    <row r="61" spans="1:28" ht="16.5" thickBot="1">
      <c r="A61" s="1" t="s">
        <v>49</v>
      </c>
      <c r="B61" s="36" t="s">
        <v>141</v>
      </c>
      <c r="C61" s="16">
        <v>164.41060000000056</v>
      </c>
      <c r="D61" s="16"/>
      <c r="E61" s="41">
        <v>165.11639999999997</v>
      </c>
      <c r="F61" s="16"/>
      <c r="G61" s="16">
        <v>137.62949999999987</v>
      </c>
      <c r="H61" s="16"/>
      <c r="I61" s="16">
        <v>148.73659999999967</v>
      </c>
      <c r="J61" s="16"/>
      <c r="K61" s="16">
        <v>171.94210000000004</v>
      </c>
      <c r="L61" s="16"/>
      <c r="M61" s="16">
        <v>252.57160000000039</v>
      </c>
      <c r="N61" s="16"/>
      <c r="O61" s="56">
        <v>263.8435999999997</v>
      </c>
      <c r="P61" s="16"/>
      <c r="Q61" s="16">
        <v>191.45680000000033</v>
      </c>
      <c r="R61" s="16"/>
      <c r="S61" s="16">
        <v>167.2009000000001</v>
      </c>
      <c r="T61" s="16"/>
      <c r="U61" s="41">
        <v>250.43539999999993</v>
      </c>
      <c r="V61" s="16"/>
      <c r="W61" s="41">
        <v>21.851300000000013</v>
      </c>
      <c r="X61" s="16"/>
      <c r="Y61" s="41">
        <v>13.179499999999804</v>
      </c>
      <c r="Z61" s="16"/>
      <c r="AA61" s="4"/>
      <c r="AB61" s="42">
        <f t="shared" si="1"/>
        <v>1948.3743000000002</v>
      </c>
    </row>
    <row r="62" spans="1:28" ht="16.5" thickBot="1">
      <c r="A62" s="1" t="s">
        <v>50</v>
      </c>
      <c r="B62" s="36" t="s">
        <v>188</v>
      </c>
      <c r="C62" s="16">
        <v>9.4973000000002372</v>
      </c>
      <c r="D62" s="16">
        <v>-473.04</v>
      </c>
      <c r="E62" s="41">
        <v>9.4973000000001253</v>
      </c>
      <c r="F62" s="16"/>
      <c r="G62" s="16">
        <v>8.6613999999996292</v>
      </c>
      <c r="H62" s="16">
        <v>-27.66</v>
      </c>
      <c r="I62" s="16">
        <v>12.815299999999734</v>
      </c>
      <c r="J62" s="16"/>
      <c r="K62" s="16">
        <v>570.19610000000011</v>
      </c>
      <c r="L62" s="16"/>
      <c r="M62" s="16">
        <v>704.48120000000017</v>
      </c>
      <c r="N62" s="16">
        <f>-583.02-704.48</f>
        <v>-1287.5</v>
      </c>
      <c r="O62" s="56">
        <v>1132.5994999999998</v>
      </c>
      <c r="P62" s="16"/>
      <c r="Q62" s="16">
        <v>664.53119999999979</v>
      </c>
      <c r="R62" s="16">
        <v>-1132.5999999999999</v>
      </c>
      <c r="S62" s="16">
        <v>497.27730000000116</v>
      </c>
      <c r="T62" s="16">
        <v>-664.53</v>
      </c>
      <c r="U62" s="41">
        <v>363.71720000000039</v>
      </c>
      <c r="V62" s="16"/>
      <c r="W62" s="41">
        <v>8.8195999999997596</v>
      </c>
      <c r="X62" s="16">
        <v>-861</v>
      </c>
      <c r="Y62" s="41">
        <v>10.989099999998142</v>
      </c>
      <c r="Z62" s="16">
        <v>-19.809999999999999</v>
      </c>
      <c r="AA62" s="4"/>
      <c r="AB62" s="42">
        <f t="shared" si="1"/>
        <v>-473.05750000000108</v>
      </c>
    </row>
    <row r="63" spans="1:28" ht="16.5" thickBot="1">
      <c r="A63" s="1" t="s">
        <v>51</v>
      </c>
      <c r="B63" s="36" t="s">
        <v>143</v>
      </c>
      <c r="C63" s="16">
        <v>0</v>
      </c>
      <c r="D63" s="16"/>
      <c r="E63" s="41">
        <v>0</v>
      </c>
      <c r="F63" s="16"/>
      <c r="G63" s="16">
        <v>0</v>
      </c>
      <c r="H63" s="16"/>
      <c r="I63" s="16">
        <v>0</v>
      </c>
      <c r="J63" s="16"/>
      <c r="K63" s="16">
        <v>1.0407999999998485</v>
      </c>
      <c r="L63" s="16"/>
      <c r="M63" s="16">
        <v>4.5730000000002233</v>
      </c>
      <c r="N63" s="16"/>
      <c r="O63" s="56">
        <v>6.2811999999997932</v>
      </c>
      <c r="P63" s="16"/>
      <c r="Q63" s="16">
        <v>4.417900000000202</v>
      </c>
      <c r="R63" s="16"/>
      <c r="S63" s="16">
        <v>5.3599999999998538</v>
      </c>
      <c r="T63" s="16"/>
      <c r="U63" s="41">
        <v>4.9702000000001485</v>
      </c>
      <c r="V63" s="16"/>
      <c r="W63" s="41">
        <v>4.49679999999986</v>
      </c>
      <c r="X63" s="16"/>
      <c r="Y63" s="41">
        <v>5.7498000000001586</v>
      </c>
      <c r="Z63" s="16"/>
      <c r="AA63" s="4"/>
      <c r="AB63" s="42">
        <f t="shared" si="1"/>
        <v>36.889700000000083</v>
      </c>
    </row>
    <row r="64" spans="1:28" ht="16.5" thickBot="1">
      <c r="A64" s="48" t="s">
        <v>52</v>
      </c>
      <c r="B64" s="47" t="s">
        <v>144</v>
      </c>
      <c r="C64" s="46"/>
      <c r="D64" s="46"/>
      <c r="E64" s="57"/>
      <c r="F64" s="46"/>
      <c r="G64" s="46"/>
      <c r="H64" s="46"/>
      <c r="I64" s="46"/>
      <c r="J64" s="46"/>
      <c r="K64" s="46"/>
      <c r="L64" s="46"/>
      <c r="M64" s="46"/>
      <c r="N64" s="46"/>
      <c r="O64" s="50"/>
      <c r="P64" s="46"/>
      <c r="Q64" s="46"/>
      <c r="R64" s="46"/>
      <c r="S64" s="46"/>
      <c r="T64" s="46"/>
      <c r="U64" s="57"/>
      <c r="V64" s="46"/>
      <c r="W64" s="57"/>
      <c r="X64" s="46"/>
      <c r="Y64" s="57"/>
      <c r="Z64" s="46"/>
      <c r="AA64" s="45"/>
      <c r="AB64" s="42">
        <f t="shared" si="1"/>
        <v>0</v>
      </c>
    </row>
    <row r="65" spans="1:28" ht="16.5" thickBot="1">
      <c r="A65" s="1" t="s">
        <v>53</v>
      </c>
      <c r="B65" s="36" t="s">
        <v>148</v>
      </c>
      <c r="C65" s="16">
        <v>761.63319999999976</v>
      </c>
      <c r="D65" s="16"/>
      <c r="E65" s="41">
        <v>3.262700000000176</v>
      </c>
      <c r="F65" s="16"/>
      <c r="G65" s="16">
        <v>202.33030000000025</v>
      </c>
      <c r="H65" s="16"/>
      <c r="I65" s="16">
        <v>211.04489999999998</v>
      </c>
      <c r="J65" s="16"/>
      <c r="K65" s="16">
        <v>579.57100000000037</v>
      </c>
      <c r="L65" s="16">
        <v>-2677.05</v>
      </c>
      <c r="M65" s="16">
        <v>1219.4208999999998</v>
      </c>
      <c r="N65" s="16"/>
      <c r="O65" s="56">
        <v>570.7677000000001</v>
      </c>
      <c r="P65" s="16"/>
      <c r="Q65" s="16">
        <v>636.54189999999903</v>
      </c>
      <c r="R65" s="16">
        <v>-2000</v>
      </c>
      <c r="S65" s="16">
        <v>815.30479999999966</v>
      </c>
      <c r="T65" s="16">
        <v>-1631.14</v>
      </c>
      <c r="U65" s="57"/>
      <c r="V65" s="46"/>
      <c r="W65" s="57"/>
      <c r="X65" s="46"/>
      <c r="Y65" s="57"/>
      <c r="Z65" s="46"/>
      <c r="AA65" s="45"/>
      <c r="AB65" s="42">
        <f t="shared" si="1"/>
        <v>-1308.3126000000009</v>
      </c>
    </row>
    <row r="66" spans="1:28" ht="16.5" thickBot="1">
      <c r="A66" s="1" t="s">
        <v>187</v>
      </c>
      <c r="B66" s="36" t="s">
        <v>215</v>
      </c>
      <c r="C66" s="16">
        <v>3.92250000000013</v>
      </c>
      <c r="D66" s="16"/>
      <c r="E66" s="41">
        <v>3.902999999999778</v>
      </c>
      <c r="F66" s="16"/>
      <c r="G66" s="16">
        <v>3.5680000000000831</v>
      </c>
      <c r="H66" s="16"/>
      <c r="I66" s="16">
        <v>53.471300000000014</v>
      </c>
      <c r="J66" s="16"/>
      <c r="K66" s="16">
        <v>153.36260000000001</v>
      </c>
      <c r="L66" s="16"/>
      <c r="M66" s="16">
        <v>89.990100000000112</v>
      </c>
      <c r="N66" s="16"/>
      <c r="O66" s="56">
        <v>145.27929999999986</v>
      </c>
      <c r="P66" s="16"/>
      <c r="Q66" s="16">
        <v>152.67030000000003</v>
      </c>
      <c r="R66" s="16"/>
      <c r="S66" s="16">
        <v>266.55259999999987</v>
      </c>
      <c r="T66" s="16">
        <v>-1500</v>
      </c>
      <c r="U66" s="41">
        <v>119.79970000000014</v>
      </c>
      <c r="V66" s="16"/>
      <c r="W66" s="41">
        <v>40.368500000000026</v>
      </c>
      <c r="X66" s="16"/>
      <c r="Y66" s="41">
        <v>4.3018999999999785</v>
      </c>
      <c r="Z66" s="16"/>
      <c r="AA66" s="4"/>
      <c r="AB66" s="42">
        <f t="shared" si="1"/>
        <v>-462.81019999999995</v>
      </c>
    </row>
    <row r="67" spans="1:28" ht="16.5" thickBot="1">
      <c r="A67" s="1" t="s">
        <v>54</v>
      </c>
      <c r="B67" s="36" t="s">
        <v>146</v>
      </c>
      <c r="C67" s="16">
        <v>342.32109999999943</v>
      </c>
      <c r="D67" s="16"/>
      <c r="E67" s="41">
        <v>4.5730000000017572</v>
      </c>
      <c r="F67" s="16"/>
      <c r="G67" s="16">
        <v>4.1631999999996152</v>
      </c>
      <c r="H67" s="16"/>
      <c r="I67" s="16">
        <v>120.55480000000024</v>
      </c>
      <c r="J67" s="16"/>
      <c r="K67" s="16">
        <v>919.95650000000001</v>
      </c>
      <c r="L67" s="16"/>
      <c r="M67" s="16">
        <v>682.76300000000026</v>
      </c>
      <c r="N67" s="16"/>
      <c r="O67" s="56">
        <v>1331.0179999999996</v>
      </c>
      <c r="P67" s="16"/>
      <c r="Q67" s="16">
        <v>622.37529999999856</v>
      </c>
      <c r="R67" s="16"/>
      <c r="S67" s="16">
        <v>323.17409999999978</v>
      </c>
      <c r="T67" s="16"/>
      <c r="U67" s="41">
        <v>144.31300000000155</v>
      </c>
      <c r="V67" s="16"/>
      <c r="W67" s="41">
        <v>3.9700999999995021</v>
      </c>
      <c r="X67" s="16"/>
      <c r="Y67" s="41">
        <v>5.1603999999988943</v>
      </c>
      <c r="Z67" s="16"/>
      <c r="AA67" s="4"/>
      <c r="AB67" s="42">
        <f t="shared" si="1"/>
        <v>4504.3424999999997</v>
      </c>
    </row>
    <row r="68" spans="1:28" ht="16.5" thickBot="1">
      <c r="A68" s="12" t="s">
        <v>55</v>
      </c>
      <c r="B68" s="37" t="s">
        <v>147</v>
      </c>
      <c r="C68" s="17">
        <v>0.85539999999996152</v>
      </c>
      <c r="D68" s="17"/>
      <c r="E68" s="67">
        <v>0.910699999999939</v>
      </c>
      <c r="F68" s="17"/>
      <c r="G68" s="17">
        <v>0.70580000000006993</v>
      </c>
      <c r="H68" s="17"/>
      <c r="I68" s="17">
        <v>0.83589999999997933</v>
      </c>
      <c r="J68" s="17"/>
      <c r="K68" s="17">
        <v>0.85539999999996152</v>
      </c>
      <c r="L68" s="17"/>
      <c r="M68" s="17">
        <v>0.72530000000007988</v>
      </c>
      <c r="N68" s="17"/>
      <c r="O68" s="66">
        <v>1.0580999999998753</v>
      </c>
      <c r="P68" s="17"/>
      <c r="Q68" s="17">
        <v>164.81639999999993</v>
      </c>
      <c r="R68" s="17"/>
      <c r="S68" s="17">
        <v>116.15710000000017</v>
      </c>
      <c r="T68" s="17"/>
      <c r="U68" s="67">
        <v>0.76340000000008379</v>
      </c>
      <c r="V68" s="17"/>
      <c r="W68" s="67">
        <v>0.82139999999970137</v>
      </c>
      <c r="X68" s="17"/>
      <c r="Y68" s="67">
        <v>0.9583000000002363</v>
      </c>
      <c r="Z68" s="17"/>
      <c r="AA68" s="13"/>
      <c r="AB68" s="42">
        <f t="shared" si="1"/>
        <v>289.46320000000003</v>
      </c>
    </row>
    <row r="69" spans="1:28" ht="16.5" thickBot="1">
      <c r="A69" s="12" t="s">
        <v>56</v>
      </c>
      <c r="B69" s="37" t="s">
        <v>148</v>
      </c>
      <c r="C69" s="17">
        <v>24.514099999999889</v>
      </c>
      <c r="D69" s="17"/>
      <c r="E69" s="67">
        <v>24.45879999999994</v>
      </c>
      <c r="F69" s="17"/>
      <c r="G69" s="17">
        <v>22.042199999999923</v>
      </c>
      <c r="H69" s="17"/>
      <c r="I69" s="17">
        <v>24.40349999999999</v>
      </c>
      <c r="J69" s="17"/>
      <c r="K69" s="17">
        <v>27.561999999999745</v>
      </c>
      <c r="L69" s="17">
        <v>-450</v>
      </c>
      <c r="M69" s="17">
        <v>43.201700000000429</v>
      </c>
      <c r="N69" s="17"/>
      <c r="O69" s="66">
        <v>0</v>
      </c>
      <c r="P69" s="17"/>
      <c r="Q69" s="17">
        <v>315.5752</v>
      </c>
      <c r="R69" s="17"/>
      <c r="S69" s="17">
        <v>395.41629999999998</v>
      </c>
      <c r="T69" s="17">
        <v>-1375.16</v>
      </c>
      <c r="U69" s="67">
        <v>301.61</v>
      </c>
      <c r="V69" s="17"/>
      <c r="W69" s="67">
        <v>250.70090000000002</v>
      </c>
      <c r="X69" s="17"/>
      <c r="Y69" s="67">
        <v>4.1799999999991684E-2</v>
      </c>
      <c r="Z69" s="17"/>
      <c r="AA69" s="13"/>
      <c r="AB69" s="42">
        <f t="shared" si="1"/>
        <v>-395.63350000000025</v>
      </c>
    </row>
    <row r="70" spans="1:28" s="65" customFormat="1" ht="16.5" thickBot="1">
      <c r="A70" s="12" t="s">
        <v>57</v>
      </c>
      <c r="B70" s="37" t="s">
        <v>150</v>
      </c>
      <c r="C70" s="17">
        <v>5.0185999999998732</v>
      </c>
      <c r="D70" s="17"/>
      <c r="E70" s="67">
        <v>5.0381000000005951</v>
      </c>
      <c r="F70" s="17"/>
      <c r="G70" s="17">
        <v>4.5729999999995385</v>
      </c>
      <c r="H70" s="17"/>
      <c r="I70" s="17">
        <v>5.0380999999999663</v>
      </c>
      <c r="J70" s="17"/>
      <c r="K70" s="17">
        <v>5.2040000000003337</v>
      </c>
      <c r="L70" s="17"/>
      <c r="M70" s="17">
        <v>4.6477999999995818</v>
      </c>
      <c r="N70" s="17"/>
      <c r="O70" s="66">
        <v>6.0654000000007082</v>
      </c>
      <c r="P70" s="17"/>
      <c r="Q70" s="17">
        <v>8.8258999999997005</v>
      </c>
      <c r="R70" s="17"/>
      <c r="S70" s="17">
        <v>5.1442000000001089</v>
      </c>
      <c r="T70" s="17"/>
      <c r="U70" s="67">
        <v>4.8912999999994424</v>
      </c>
      <c r="V70" s="17"/>
      <c r="W70" s="67">
        <v>97.934800000000649</v>
      </c>
      <c r="X70" s="17"/>
      <c r="Y70" s="67">
        <v>5.5130999999996551</v>
      </c>
      <c r="Z70" s="17"/>
      <c r="AA70" s="13"/>
      <c r="AB70" s="42">
        <f t="shared" si="1"/>
        <v>157.89430000000016</v>
      </c>
    </row>
    <row r="71" spans="1:28" s="65" customFormat="1" ht="16.5" thickBot="1">
      <c r="A71" s="12" t="s">
        <v>58</v>
      </c>
      <c r="B71" s="37" t="s">
        <v>149</v>
      </c>
      <c r="C71" s="17">
        <v>4.1631999999999252</v>
      </c>
      <c r="D71" s="17"/>
      <c r="E71" s="67">
        <v>4.1827000000000787</v>
      </c>
      <c r="F71" s="17"/>
      <c r="G71" s="17">
        <v>3.9029999999999632</v>
      </c>
      <c r="H71" s="17"/>
      <c r="I71" s="17">
        <v>4.3485999999999416</v>
      </c>
      <c r="J71" s="17"/>
      <c r="K71" s="17">
        <v>4.49819999999999</v>
      </c>
      <c r="L71" s="17"/>
      <c r="M71" s="17">
        <v>20.236000000000054</v>
      </c>
      <c r="N71" s="17"/>
      <c r="O71" s="66">
        <v>5.3809000000000138</v>
      </c>
      <c r="P71" s="17"/>
      <c r="Q71" s="17">
        <v>15.773300000000024</v>
      </c>
      <c r="R71" s="17"/>
      <c r="S71" s="17">
        <v>4.5965999999999196</v>
      </c>
      <c r="T71" s="17"/>
      <c r="U71" s="67">
        <v>5.3088000000000655</v>
      </c>
      <c r="V71" s="17"/>
      <c r="W71" s="67">
        <v>3.8911999999999631</v>
      </c>
      <c r="X71" s="17"/>
      <c r="Y71" s="67">
        <v>4.8495000000000488</v>
      </c>
      <c r="Z71" s="17"/>
      <c r="AA71" s="13"/>
      <c r="AB71" s="42">
        <f t="shared" si="1"/>
        <v>81.131999999999991</v>
      </c>
    </row>
    <row r="72" spans="1:28" ht="16.5" thickBot="1">
      <c r="A72" s="64" t="s">
        <v>59</v>
      </c>
      <c r="B72" s="36" t="s">
        <v>151</v>
      </c>
      <c r="C72" s="16">
        <v>0.57570000000016053</v>
      </c>
      <c r="D72" s="16"/>
      <c r="E72" s="41">
        <v>0.27969999999980105</v>
      </c>
      <c r="F72" s="16"/>
      <c r="G72" s="16">
        <v>1.3010000000002682</v>
      </c>
      <c r="H72" s="16"/>
      <c r="I72" s="16">
        <v>1.5806999999997271</v>
      </c>
      <c r="J72" s="16"/>
      <c r="K72" s="16">
        <v>17.002400000000033</v>
      </c>
      <c r="L72" s="16"/>
      <c r="M72" s="16">
        <v>49.724800000000151</v>
      </c>
      <c r="N72" s="16"/>
      <c r="O72" s="56">
        <v>33.487799999999964</v>
      </c>
      <c r="P72" s="16"/>
      <c r="Q72" s="16">
        <v>68.413200000000003</v>
      </c>
      <c r="R72" s="16">
        <v>-105</v>
      </c>
      <c r="S72" s="16">
        <v>58.25539999999986</v>
      </c>
      <c r="T72" s="16"/>
      <c r="U72" s="41">
        <v>52.794000000000068</v>
      </c>
      <c r="V72" s="16"/>
      <c r="W72" s="41">
        <v>6.9934000000001344</v>
      </c>
      <c r="X72" s="16"/>
      <c r="Y72" s="41">
        <v>2.0535000000000481</v>
      </c>
      <c r="Z72" s="16"/>
      <c r="AA72" s="4"/>
      <c r="AB72" s="42">
        <f t="shared" si="1"/>
        <v>187.4616000000002</v>
      </c>
    </row>
    <row r="73" spans="1:28" ht="16.5" thickBot="1">
      <c r="A73" s="1" t="s">
        <v>60</v>
      </c>
      <c r="B73" s="36" t="s">
        <v>152</v>
      </c>
      <c r="C73" s="16">
        <v>5.5390000000001391</v>
      </c>
      <c r="D73" s="16"/>
      <c r="E73" s="41">
        <v>5.5584999999998068</v>
      </c>
      <c r="F73" s="16"/>
      <c r="G73" s="16">
        <v>5.129200000000087</v>
      </c>
      <c r="H73" s="16"/>
      <c r="I73" s="16">
        <v>6.8303999999999077</v>
      </c>
      <c r="J73" s="16"/>
      <c r="K73" s="16">
        <v>169.71660000000017</v>
      </c>
      <c r="L73" s="16"/>
      <c r="M73" s="16">
        <v>18.423600000000015</v>
      </c>
      <c r="N73" s="16"/>
      <c r="O73" s="56">
        <v>44.8198000000001</v>
      </c>
      <c r="P73" s="16"/>
      <c r="Q73" s="16">
        <v>24.221999999999866</v>
      </c>
      <c r="R73" s="16"/>
      <c r="S73" s="16">
        <v>18.102199999999858</v>
      </c>
      <c r="T73" s="16"/>
      <c r="U73" s="41">
        <v>31.110299999999995</v>
      </c>
      <c r="V73" s="16"/>
      <c r="W73" s="41">
        <v>4.9864000000000743</v>
      </c>
      <c r="X73" s="16"/>
      <c r="Y73" s="41">
        <v>23.233400000000199</v>
      </c>
      <c r="Z73" s="16"/>
      <c r="AA73" s="4"/>
      <c r="AB73" s="42">
        <f t="shared" si="1"/>
        <v>357.67140000000023</v>
      </c>
    </row>
    <row r="74" spans="1:28" ht="16.5" thickBot="1">
      <c r="A74" s="1" t="s">
        <v>61</v>
      </c>
      <c r="B74" s="36" t="s">
        <v>153</v>
      </c>
      <c r="C74" s="16">
        <v>1.4311000000001775</v>
      </c>
      <c r="D74" s="16"/>
      <c r="E74" s="41">
        <v>1.5059000000001095</v>
      </c>
      <c r="F74" s="16"/>
      <c r="G74" s="16">
        <v>1.1156000000002428</v>
      </c>
      <c r="H74" s="16"/>
      <c r="I74" s="16">
        <v>1.3563000000002454</v>
      </c>
      <c r="J74" s="16"/>
      <c r="K74" s="16">
        <v>8.3793999999988884</v>
      </c>
      <c r="L74" s="16"/>
      <c r="M74" s="16">
        <v>317.31150000000048</v>
      </c>
      <c r="N74" s="16">
        <v>-1000</v>
      </c>
      <c r="O74" s="56">
        <v>650.06830000000116</v>
      </c>
      <c r="P74" s="16"/>
      <c r="Q74" s="16">
        <v>440.86559999999866</v>
      </c>
      <c r="R74" s="16"/>
      <c r="S74" s="16">
        <v>302.62360000000018</v>
      </c>
      <c r="T74" s="16">
        <v>-400</v>
      </c>
      <c r="U74" s="41">
        <v>3.2830000000009703</v>
      </c>
      <c r="V74" s="16"/>
      <c r="W74" s="41">
        <v>1.174099999997851</v>
      </c>
      <c r="X74" s="16"/>
      <c r="Y74" s="41">
        <v>1.4850000000015247</v>
      </c>
      <c r="Z74" s="16"/>
      <c r="AA74" s="4"/>
      <c r="AB74" s="42">
        <f t="shared" si="1"/>
        <v>330.59940000000057</v>
      </c>
    </row>
    <row r="75" spans="1:28" ht="16.5" thickBot="1">
      <c r="A75" s="1" t="s">
        <v>62</v>
      </c>
      <c r="B75" s="36" t="s">
        <v>154</v>
      </c>
      <c r="C75" s="16">
        <v>0</v>
      </c>
      <c r="D75" s="16"/>
      <c r="E75" s="41">
        <v>0</v>
      </c>
      <c r="F75" s="16"/>
      <c r="G75" s="16">
        <v>0</v>
      </c>
      <c r="H75" s="16"/>
      <c r="I75" s="16">
        <v>0</v>
      </c>
      <c r="J75" s="16"/>
      <c r="K75" s="16">
        <v>106.45720000000027</v>
      </c>
      <c r="L75" s="16">
        <v>-1000</v>
      </c>
      <c r="M75" s="16">
        <v>663.20580000000029</v>
      </c>
      <c r="N75" s="16">
        <v>-1000</v>
      </c>
      <c r="O75" s="56">
        <v>600.75959999999907</v>
      </c>
      <c r="P75" s="16"/>
      <c r="Q75" s="16">
        <v>352.95329999999927</v>
      </c>
      <c r="R75" s="16">
        <v>-1000</v>
      </c>
      <c r="S75" s="16">
        <v>773.65720000000056</v>
      </c>
      <c r="T75" s="16">
        <v>-1000</v>
      </c>
      <c r="U75" s="41">
        <v>0</v>
      </c>
      <c r="V75" s="16"/>
      <c r="W75" s="41">
        <v>0</v>
      </c>
      <c r="X75" s="16"/>
      <c r="Y75" s="41">
        <v>0</v>
      </c>
      <c r="Z75" s="16"/>
      <c r="AA75" s="4"/>
      <c r="AB75" s="42">
        <f t="shared" ref="AB75:AB100" si="2">SUM(C75:AA75)</f>
        <v>-1502.9669000000006</v>
      </c>
    </row>
    <row r="76" spans="1:28" ht="16.5" thickBot="1">
      <c r="A76" s="48" t="s">
        <v>63</v>
      </c>
      <c r="B76" s="47" t="s">
        <v>173</v>
      </c>
      <c r="C76" s="46"/>
      <c r="D76" s="46"/>
      <c r="E76" s="57"/>
      <c r="F76" s="46"/>
      <c r="G76" s="46"/>
      <c r="H76" s="46"/>
      <c r="I76" s="46"/>
      <c r="J76" s="46"/>
      <c r="K76" s="46"/>
      <c r="L76" s="46"/>
      <c r="M76" s="46"/>
      <c r="N76" s="46"/>
      <c r="O76" s="50"/>
      <c r="P76" s="46"/>
      <c r="Q76" s="46"/>
      <c r="R76" s="46"/>
      <c r="S76" s="46"/>
      <c r="T76" s="46"/>
      <c r="U76" s="57"/>
      <c r="V76" s="46"/>
      <c r="W76" s="57"/>
      <c r="X76" s="46"/>
      <c r="Y76" s="57"/>
      <c r="Z76" s="46"/>
      <c r="AA76" s="45"/>
      <c r="AB76" s="42">
        <f t="shared" si="2"/>
        <v>0</v>
      </c>
    </row>
    <row r="77" spans="1:28" ht="16.5" thickBot="1">
      <c r="A77" s="48" t="s">
        <v>186</v>
      </c>
      <c r="B77" s="47" t="s">
        <v>173</v>
      </c>
      <c r="C77" s="46"/>
      <c r="D77" s="46"/>
      <c r="E77" s="57"/>
      <c r="F77" s="46"/>
      <c r="G77" s="46"/>
      <c r="H77" s="46"/>
      <c r="I77" s="46"/>
      <c r="J77" s="46"/>
      <c r="K77" s="46"/>
      <c r="L77" s="46"/>
      <c r="M77" s="46"/>
      <c r="N77" s="46"/>
      <c r="O77" s="50"/>
      <c r="P77" s="46"/>
      <c r="Q77" s="46"/>
      <c r="R77" s="46"/>
      <c r="S77" s="46"/>
      <c r="T77" s="46"/>
      <c r="U77" s="57"/>
      <c r="V77" s="46"/>
      <c r="W77" s="57"/>
      <c r="X77" s="46"/>
      <c r="Y77" s="57"/>
      <c r="Z77" s="46"/>
      <c r="AA77" s="45"/>
      <c r="AB77" s="42">
        <f t="shared" si="2"/>
        <v>0</v>
      </c>
    </row>
    <row r="78" spans="1:28" ht="16.5" thickBot="1">
      <c r="A78" s="63" t="s">
        <v>64</v>
      </c>
      <c r="B78" s="62" t="s">
        <v>174</v>
      </c>
      <c r="C78" s="59">
        <v>1448.7546000000041</v>
      </c>
      <c r="D78" s="59">
        <v>-4527.22</v>
      </c>
      <c r="E78" s="61">
        <v>957.15599999999813</v>
      </c>
      <c r="F78" s="59"/>
      <c r="G78" s="59">
        <v>711.31369999999515</v>
      </c>
      <c r="H78" s="59">
        <v>-4287.32</v>
      </c>
      <c r="I78" s="59">
        <v>697.1899000000069</v>
      </c>
      <c r="J78" s="59"/>
      <c r="K78" s="59">
        <v>1134.9764999999977</v>
      </c>
      <c r="L78" s="59"/>
      <c r="M78" s="59">
        <v>997.98320000000103</v>
      </c>
      <c r="N78" s="59">
        <v>-2186.83</v>
      </c>
      <c r="O78" s="60">
        <v>1336.6494000000034</v>
      </c>
      <c r="P78" s="59"/>
      <c r="Q78" s="59">
        <v>856.57569999999077</v>
      </c>
      <c r="R78" s="59">
        <v>-3331.11</v>
      </c>
      <c r="S78" s="59">
        <v>1074.944800000005</v>
      </c>
      <c r="T78" s="59"/>
      <c r="U78" s="61">
        <v>1078.6672000000005</v>
      </c>
      <c r="V78" s="59">
        <v>-2453.21</v>
      </c>
      <c r="W78" s="61">
        <v>903.84579999999551</v>
      </c>
      <c r="X78" s="59"/>
      <c r="Y78" s="61">
        <v>965.59490000000312</v>
      </c>
      <c r="Z78" s="59">
        <v>-2205.25</v>
      </c>
      <c r="AA78" s="58"/>
      <c r="AB78" s="42">
        <f t="shared" si="2"/>
        <v>-6827.2882999999993</v>
      </c>
    </row>
    <row r="79" spans="1:28" ht="16.5" thickBot="1">
      <c r="A79" s="63" t="s">
        <v>185</v>
      </c>
      <c r="B79" s="62" t="s">
        <v>174</v>
      </c>
      <c r="C79" s="59">
        <v>1166.4552999999994</v>
      </c>
      <c r="D79" s="59"/>
      <c r="E79" s="61">
        <v>1.9320000000009792</v>
      </c>
      <c r="F79" s="59"/>
      <c r="G79" s="59">
        <v>1.7075999999999261</v>
      </c>
      <c r="H79" s="59"/>
      <c r="I79" s="59">
        <v>1.8766999999997722</v>
      </c>
      <c r="J79" s="59"/>
      <c r="K79" s="59">
        <v>352.7868999999996</v>
      </c>
      <c r="L79" s="59"/>
      <c r="M79" s="59">
        <v>123.24260000000093</v>
      </c>
      <c r="N79" s="59"/>
      <c r="O79" s="60">
        <v>13.138800000000394</v>
      </c>
      <c r="P79" s="59"/>
      <c r="Q79" s="59">
        <v>3.5243999999983506</v>
      </c>
      <c r="R79" s="59"/>
      <c r="S79" s="59">
        <v>12.473600000000632</v>
      </c>
      <c r="T79" s="59"/>
      <c r="U79" s="61">
        <v>287.1234999999989</v>
      </c>
      <c r="V79" s="59"/>
      <c r="W79" s="61">
        <v>333.09190000000194</v>
      </c>
      <c r="X79" s="59"/>
      <c r="Y79" s="61">
        <v>2.7170999999977665</v>
      </c>
      <c r="Z79" s="59"/>
      <c r="AA79" s="58"/>
      <c r="AB79" s="42">
        <f t="shared" si="2"/>
        <v>2300.0703999999982</v>
      </c>
    </row>
    <row r="80" spans="1:28" ht="16.5" thickBot="1">
      <c r="A80" s="1" t="s">
        <v>65</v>
      </c>
      <c r="B80" s="36" t="s">
        <v>175</v>
      </c>
      <c r="C80" s="16">
        <v>0.91070000000006845</v>
      </c>
      <c r="D80" s="16"/>
      <c r="E80" s="41">
        <v>0.93019999999989356</v>
      </c>
      <c r="F80" s="16"/>
      <c r="G80" s="16">
        <v>0.85540000000017424</v>
      </c>
      <c r="H80" s="16"/>
      <c r="I80" s="16">
        <v>0.91069999999991125</v>
      </c>
      <c r="J80" s="16"/>
      <c r="K80" s="16">
        <v>0.93020000000010605</v>
      </c>
      <c r="L80" s="16"/>
      <c r="M80" s="16">
        <v>0.80009999999985459</v>
      </c>
      <c r="N80" s="16"/>
      <c r="O80" s="56">
        <v>1.0371999999999997</v>
      </c>
      <c r="P80" s="16"/>
      <c r="Q80" s="16">
        <v>0.70539999999997172</v>
      </c>
      <c r="R80" s="16"/>
      <c r="S80" s="16">
        <v>0.93740000000009038</v>
      </c>
      <c r="T80" s="16"/>
      <c r="U80" s="41">
        <v>0.82140000000003111</v>
      </c>
      <c r="V80" s="16"/>
      <c r="W80" s="41">
        <v>0.76339999999991903</v>
      </c>
      <c r="X80" s="16"/>
      <c r="Y80" s="41">
        <v>0.90029999999995936</v>
      </c>
      <c r="Z80" s="16"/>
      <c r="AA80" s="4"/>
      <c r="AB80" s="42">
        <f t="shared" si="2"/>
        <v>10.502399999999978</v>
      </c>
    </row>
    <row r="81" spans="1:28" ht="16.5" thickBot="1">
      <c r="A81" s="48" t="s">
        <v>66</v>
      </c>
      <c r="B81" s="47" t="s">
        <v>176</v>
      </c>
      <c r="C81" s="46"/>
      <c r="D81" s="46"/>
      <c r="E81" s="57"/>
      <c r="F81" s="46"/>
      <c r="G81" s="46"/>
      <c r="H81" s="46"/>
      <c r="I81" s="46"/>
      <c r="J81" s="46"/>
      <c r="K81" s="46"/>
      <c r="L81" s="46"/>
      <c r="M81" s="46"/>
      <c r="N81" s="46"/>
      <c r="O81" s="50"/>
      <c r="P81" s="46"/>
      <c r="Q81" s="46"/>
      <c r="R81" s="46"/>
      <c r="S81" s="46"/>
      <c r="T81" s="46"/>
      <c r="U81" s="57"/>
      <c r="V81" s="46"/>
      <c r="W81" s="57"/>
      <c r="X81" s="46"/>
      <c r="Y81" s="57"/>
      <c r="Z81" s="46"/>
      <c r="AA81" s="45"/>
      <c r="AB81" s="42">
        <f t="shared" si="2"/>
        <v>0</v>
      </c>
    </row>
    <row r="82" spans="1:28" ht="16.5" thickBot="1">
      <c r="A82" s="1" t="s">
        <v>67</v>
      </c>
      <c r="B82" s="36" t="s">
        <v>177</v>
      </c>
      <c r="C82" s="16">
        <v>3.6070000000013782</v>
      </c>
      <c r="D82" s="16"/>
      <c r="E82" s="41">
        <v>3.642799999999645</v>
      </c>
      <c r="F82" s="16"/>
      <c r="G82" s="16">
        <v>3.3273000000011894</v>
      </c>
      <c r="H82" s="16"/>
      <c r="I82" s="16">
        <v>3.6622999999996275</v>
      </c>
      <c r="J82" s="16"/>
      <c r="K82" s="16">
        <v>11.90199999999842</v>
      </c>
      <c r="L82" s="16"/>
      <c r="M82" s="16">
        <v>17.705300000000687</v>
      </c>
      <c r="N82" s="16"/>
      <c r="O82" s="56">
        <v>35.779700000000901</v>
      </c>
      <c r="P82" s="16"/>
      <c r="Q82" s="16">
        <v>11.363799999998051</v>
      </c>
      <c r="R82" s="16"/>
      <c r="S82" s="16">
        <v>11.547200000001842</v>
      </c>
      <c r="T82" s="16"/>
      <c r="U82" s="41">
        <v>6.8862999999986432</v>
      </c>
      <c r="V82" s="16"/>
      <c r="W82" s="41">
        <v>3.5175999999999132</v>
      </c>
      <c r="X82" s="16"/>
      <c r="Y82" s="41">
        <v>4.1650000000006431</v>
      </c>
      <c r="Z82" s="16"/>
      <c r="AA82" s="4"/>
      <c r="AB82" s="42">
        <f t="shared" si="2"/>
        <v>117.10630000000094</v>
      </c>
    </row>
    <row r="83" spans="1:28" ht="16.5" thickBot="1">
      <c r="A83" s="1" t="s">
        <v>68</v>
      </c>
      <c r="B83" s="36" t="s">
        <v>178</v>
      </c>
      <c r="C83" s="16">
        <v>0</v>
      </c>
      <c r="D83" s="16"/>
      <c r="E83" s="41">
        <v>0</v>
      </c>
      <c r="F83" s="16"/>
      <c r="G83" s="16">
        <v>0</v>
      </c>
      <c r="H83" s="16"/>
      <c r="I83" s="16">
        <v>0</v>
      </c>
      <c r="J83" s="16"/>
      <c r="K83" s="16">
        <v>85.217300000001714</v>
      </c>
      <c r="L83" s="16"/>
      <c r="M83" s="16">
        <v>1177.6103999999987</v>
      </c>
      <c r="N83" s="16">
        <v>-1177.6099999999999</v>
      </c>
      <c r="O83" s="56">
        <v>3308.5213000000012</v>
      </c>
      <c r="P83" s="16"/>
      <c r="Q83" s="16">
        <v>1319.4890999999993</v>
      </c>
      <c r="R83" s="16">
        <f>-3308.52-1319.49</f>
        <v>-4628.01</v>
      </c>
      <c r="S83" s="16">
        <v>631.6040000000005</v>
      </c>
      <c r="T83" s="16"/>
      <c r="U83" s="41">
        <v>45.645999999999368</v>
      </c>
      <c r="V83" s="16"/>
      <c r="W83" s="41">
        <v>0</v>
      </c>
      <c r="X83" s="16"/>
      <c r="Y83" s="41">
        <v>30.079299999998494</v>
      </c>
      <c r="Z83" s="16"/>
      <c r="AA83" s="4"/>
      <c r="AB83" s="42">
        <f t="shared" si="2"/>
        <v>792.54739999999845</v>
      </c>
    </row>
    <row r="84" spans="1:28" ht="16.5" thickBot="1">
      <c r="A84" s="1" t="s">
        <v>184</v>
      </c>
      <c r="B84" s="36" t="s">
        <v>183</v>
      </c>
      <c r="C84" s="16">
        <v>0.16590000000000629</v>
      </c>
      <c r="D84" s="16"/>
      <c r="E84" s="41">
        <v>0</v>
      </c>
      <c r="F84" s="16"/>
      <c r="G84" s="16">
        <v>0.22120000000011317</v>
      </c>
      <c r="H84" s="16"/>
      <c r="I84" s="16">
        <v>0.22119999999995602</v>
      </c>
      <c r="J84" s="16"/>
      <c r="K84" s="16">
        <v>2.7486999999998853</v>
      </c>
      <c r="L84" s="16"/>
      <c r="M84" s="16">
        <v>1172.9831000000001</v>
      </c>
      <c r="N84" s="16"/>
      <c r="O84" s="56">
        <v>5.0669000000000661</v>
      </c>
      <c r="P84" s="16"/>
      <c r="Q84" s="16">
        <v>6.3637999999998165</v>
      </c>
      <c r="R84" s="16"/>
      <c r="S84" s="16">
        <v>3.5960000000000263</v>
      </c>
      <c r="T84" s="16"/>
      <c r="U84" s="41">
        <v>1.1019999999999868</v>
      </c>
      <c r="V84" s="16"/>
      <c r="W84" s="41">
        <v>0.63800000000007906</v>
      </c>
      <c r="X84" s="16"/>
      <c r="Y84" s="41">
        <v>0.19490000000021182</v>
      </c>
      <c r="Z84" s="16"/>
      <c r="AA84" s="4"/>
      <c r="AB84" s="42">
        <f t="shared" si="2"/>
        <v>1193.3017000000004</v>
      </c>
    </row>
    <row r="85" spans="1:28" ht="16.5" thickBot="1">
      <c r="A85" s="48" t="s">
        <v>69</v>
      </c>
      <c r="B85" s="47" t="s">
        <v>155</v>
      </c>
      <c r="C85" s="46"/>
      <c r="D85" s="46"/>
      <c r="E85" s="57"/>
      <c r="F85" s="46"/>
      <c r="G85" s="46"/>
      <c r="H85" s="46"/>
      <c r="I85" s="46"/>
      <c r="J85" s="46"/>
      <c r="K85" s="46"/>
      <c r="L85" s="46"/>
      <c r="M85" s="46"/>
      <c r="N85" s="46"/>
      <c r="O85" s="50"/>
      <c r="P85" s="46"/>
      <c r="Q85" s="46"/>
      <c r="R85" s="46"/>
      <c r="S85" s="46"/>
      <c r="T85" s="46"/>
      <c r="U85" s="57"/>
      <c r="V85" s="46"/>
      <c r="W85" s="57"/>
      <c r="X85" s="46"/>
      <c r="Y85" s="57"/>
      <c r="Z85" s="46"/>
      <c r="AA85" s="45"/>
      <c r="AB85" s="42">
        <f t="shared" si="2"/>
        <v>0</v>
      </c>
    </row>
    <row r="86" spans="1:28" ht="16.5" thickBot="1">
      <c r="A86" s="1" t="s">
        <v>70</v>
      </c>
      <c r="B86" s="36" t="s">
        <v>156</v>
      </c>
      <c r="C86" s="16">
        <v>0</v>
      </c>
      <c r="D86" s="16"/>
      <c r="E86" s="41">
        <v>0</v>
      </c>
      <c r="F86" s="16"/>
      <c r="G86" s="16">
        <v>0</v>
      </c>
      <c r="H86" s="16"/>
      <c r="I86" s="16">
        <v>0</v>
      </c>
      <c r="J86" s="16"/>
      <c r="K86" s="16">
        <v>406.19549999999902</v>
      </c>
      <c r="L86" s="16"/>
      <c r="M86" s="16">
        <v>294.22550000000007</v>
      </c>
      <c r="N86" s="16"/>
      <c r="O86" s="56">
        <v>561.7314000000008</v>
      </c>
      <c r="P86" s="16"/>
      <c r="Q86" s="16">
        <v>342.61410000000006</v>
      </c>
      <c r="R86" s="16"/>
      <c r="S86" s="16">
        <v>405.44430000000011</v>
      </c>
      <c r="T86" s="16"/>
      <c r="U86" s="41">
        <v>66.881699999998958</v>
      </c>
      <c r="V86" s="16">
        <v>-2900</v>
      </c>
      <c r="W86" s="41">
        <v>7.1340000000001051</v>
      </c>
      <c r="X86" s="16"/>
      <c r="Y86" s="41">
        <v>0</v>
      </c>
      <c r="Z86" s="16"/>
      <c r="AA86" s="4"/>
      <c r="AB86" s="42">
        <f t="shared" si="2"/>
        <v>-815.77350000000104</v>
      </c>
    </row>
    <row r="87" spans="1:28" ht="16.5" thickBot="1">
      <c r="A87" s="1" t="s">
        <v>71</v>
      </c>
      <c r="B87" s="36" t="s">
        <v>157</v>
      </c>
      <c r="C87" s="16">
        <v>0</v>
      </c>
      <c r="D87" s="16"/>
      <c r="E87" s="41">
        <v>0</v>
      </c>
      <c r="F87" s="16"/>
      <c r="G87" s="16">
        <v>0</v>
      </c>
      <c r="H87" s="16"/>
      <c r="I87" s="16">
        <v>0</v>
      </c>
      <c r="J87" s="16"/>
      <c r="K87" s="16">
        <v>543.92159999999944</v>
      </c>
      <c r="L87" s="16">
        <v>-543.91999999999996</v>
      </c>
      <c r="M87" s="16">
        <v>1269.0596000000016</v>
      </c>
      <c r="N87" s="16">
        <v>-1269.06</v>
      </c>
      <c r="O87" s="56">
        <v>2790.5623999999998</v>
      </c>
      <c r="P87" s="16">
        <v>-2790.56</v>
      </c>
      <c r="Q87" s="16">
        <v>1091.1777999999977</v>
      </c>
      <c r="R87" s="16"/>
      <c r="S87" s="16">
        <v>2488.1623999999993</v>
      </c>
      <c r="T87" s="16">
        <v>-1091.18</v>
      </c>
      <c r="U87" s="41">
        <v>453.17730000000461</v>
      </c>
      <c r="V87" s="16">
        <v>-2488.16</v>
      </c>
      <c r="W87" s="41">
        <v>0</v>
      </c>
      <c r="X87" s="16">
        <f>-453.18-1425.3</f>
        <v>-1878.48</v>
      </c>
      <c r="Y87" s="41">
        <v>0</v>
      </c>
      <c r="Z87" s="16"/>
      <c r="AA87" s="4"/>
      <c r="AB87" s="42">
        <f t="shared" si="2"/>
        <v>-1425.2988999999975</v>
      </c>
    </row>
    <row r="88" spans="1:28" ht="16.5" thickBot="1">
      <c r="A88" s="1" t="s">
        <v>72</v>
      </c>
      <c r="B88" s="36" t="s">
        <v>158</v>
      </c>
      <c r="C88" s="16">
        <v>0</v>
      </c>
      <c r="D88" s="16"/>
      <c r="E88" s="41">
        <v>0</v>
      </c>
      <c r="F88" s="16"/>
      <c r="G88" s="16">
        <v>0</v>
      </c>
      <c r="H88" s="16"/>
      <c r="I88" s="16">
        <v>0</v>
      </c>
      <c r="J88" s="16"/>
      <c r="K88" s="16">
        <v>1.3010000000022184</v>
      </c>
      <c r="L88" s="16"/>
      <c r="M88" s="16">
        <v>14.110500000000183</v>
      </c>
      <c r="N88" s="16"/>
      <c r="O88" s="56">
        <v>7.4552999999999194</v>
      </c>
      <c r="P88" s="16"/>
      <c r="Q88" s="16">
        <v>5.04439999999805</v>
      </c>
      <c r="R88" s="16">
        <v>-450</v>
      </c>
      <c r="S88" s="16">
        <v>171.50230000000104</v>
      </c>
      <c r="T88" s="16"/>
      <c r="U88" s="41">
        <v>113.78760000000032</v>
      </c>
      <c r="V88" s="16"/>
      <c r="W88" s="41">
        <v>5.3600000000003991</v>
      </c>
      <c r="X88" s="16"/>
      <c r="Y88" s="41">
        <v>6.7660999999992271</v>
      </c>
      <c r="Z88" s="16"/>
      <c r="AA88" s="4"/>
      <c r="AB88" s="42">
        <f t="shared" si="2"/>
        <v>-124.67279999999866</v>
      </c>
    </row>
    <row r="89" spans="1:28" ht="16.5" thickBot="1">
      <c r="A89" s="1" t="s">
        <v>73</v>
      </c>
      <c r="B89" s="36" t="s">
        <v>159</v>
      </c>
      <c r="C89" s="16">
        <v>3.8477000000000872</v>
      </c>
      <c r="D89" s="16"/>
      <c r="E89" s="41">
        <v>3.8282000000003267</v>
      </c>
      <c r="F89" s="16"/>
      <c r="G89" s="16">
        <v>3.5126999999997635</v>
      </c>
      <c r="H89" s="16"/>
      <c r="I89" s="16">
        <v>3.9030000000000369</v>
      </c>
      <c r="J89" s="16"/>
      <c r="K89" s="16">
        <v>10.053200000000174</v>
      </c>
      <c r="L89" s="16"/>
      <c r="M89" s="16">
        <v>10.530499999999776</v>
      </c>
      <c r="N89" s="16"/>
      <c r="O89" s="56">
        <v>58.338600000000071</v>
      </c>
      <c r="P89" s="16"/>
      <c r="Q89" s="16">
        <v>75.934500000000185</v>
      </c>
      <c r="R89" s="16"/>
      <c r="S89" s="16">
        <v>236.8596</v>
      </c>
      <c r="T89" s="16"/>
      <c r="U89" s="41">
        <v>142.42349999999971</v>
      </c>
      <c r="V89" s="16"/>
      <c r="W89" s="41">
        <v>10.267999999999814</v>
      </c>
      <c r="X89" s="16"/>
      <c r="Y89" s="41">
        <v>4.475900000000836</v>
      </c>
      <c r="Z89" s="16"/>
      <c r="AA89" s="4"/>
      <c r="AB89" s="42">
        <f t="shared" si="2"/>
        <v>563.97540000000072</v>
      </c>
    </row>
    <row r="90" spans="1:28" ht="16.5" thickBot="1">
      <c r="A90" s="1" t="s">
        <v>74</v>
      </c>
      <c r="B90" s="36" t="s">
        <v>160</v>
      </c>
      <c r="C90" s="16">
        <v>0</v>
      </c>
      <c r="D90" s="16"/>
      <c r="E90" s="41">
        <v>0</v>
      </c>
      <c r="F90" s="16"/>
      <c r="G90" s="16">
        <v>0</v>
      </c>
      <c r="H90" s="16"/>
      <c r="I90" s="16">
        <v>0</v>
      </c>
      <c r="J90" s="16"/>
      <c r="K90" s="16">
        <v>1.95E-2</v>
      </c>
      <c r="L90" s="16"/>
      <c r="M90" s="16">
        <v>5.5300000000000002E-2</v>
      </c>
      <c r="N90" s="16"/>
      <c r="O90" s="56">
        <v>5.7999999999999996E-2</v>
      </c>
      <c r="P90" s="16"/>
      <c r="Q90" s="16">
        <v>0</v>
      </c>
      <c r="R90" s="16"/>
      <c r="S90" s="16">
        <v>0</v>
      </c>
      <c r="T90" s="16"/>
      <c r="U90" s="41">
        <v>0.13689999999999999</v>
      </c>
      <c r="V90" s="16"/>
      <c r="W90" s="41">
        <v>0</v>
      </c>
      <c r="X90" s="16"/>
      <c r="Y90" s="41">
        <v>0.90499999999999992</v>
      </c>
      <c r="Z90" s="16"/>
      <c r="AA90" s="4"/>
      <c r="AB90" s="42">
        <f t="shared" si="2"/>
        <v>1.1746999999999999</v>
      </c>
    </row>
    <row r="91" spans="1:28" ht="16.5" thickBot="1">
      <c r="A91" s="1" t="s">
        <v>182</v>
      </c>
      <c r="B91" s="36" t="s">
        <v>161</v>
      </c>
      <c r="C91" s="16">
        <v>0</v>
      </c>
      <c r="D91" s="16"/>
      <c r="E91" s="41">
        <v>0</v>
      </c>
      <c r="F91" s="16"/>
      <c r="G91" s="16">
        <v>0</v>
      </c>
      <c r="H91" s="16"/>
      <c r="I91" s="16">
        <v>0</v>
      </c>
      <c r="J91" s="16"/>
      <c r="K91" s="16">
        <v>0</v>
      </c>
      <c r="L91" s="16"/>
      <c r="M91" s="16">
        <v>54.625600000000688</v>
      </c>
      <c r="N91" s="16"/>
      <c r="O91" s="56">
        <v>0</v>
      </c>
      <c r="P91" s="16"/>
      <c r="Q91" s="16">
        <v>0</v>
      </c>
      <c r="R91" s="16"/>
      <c r="S91" s="16">
        <v>0</v>
      </c>
      <c r="T91" s="16"/>
      <c r="U91" s="41">
        <v>1.159999999998945</v>
      </c>
      <c r="V91" s="16"/>
      <c r="W91" s="41">
        <v>92.792300000000168</v>
      </c>
      <c r="X91" s="16"/>
      <c r="Y91" s="41">
        <v>0</v>
      </c>
      <c r="Z91" s="16"/>
      <c r="AA91" s="4"/>
      <c r="AB91" s="42">
        <f t="shared" si="2"/>
        <v>148.5778999999998</v>
      </c>
    </row>
    <row r="92" spans="1:28" ht="16.5" thickBot="1">
      <c r="A92" s="1" t="s">
        <v>75</v>
      </c>
      <c r="B92" s="36" t="s">
        <v>162</v>
      </c>
      <c r="C92" s="16">
        <v>0</v>
      </c>
      <c r="D92" s="16"/>
      <c r="E92" s="41">
        <v>0</v>
      </c>
      <c r="F92" s="16"/>
      <c r="G92" s="16">
        <v>0</v>
      </c>
      <c r="H92" s="16"/>
      <c r="I92" s="16">
        <v>0</v>
      </c>
      <c r="J92" s="16"/>
      <c r="K92" s="16">
        <v>488.92090000000053</v>
      </c>
      <c r="L92" s="16"/>
      <c r="M92" s="16">
        <v>412.38319999999771</v>
      </c>
      <c r="N92" s="16"/>
      <c r="O92" s="56">
        <v>1207.9722999999999</v>
      </c>
      <c r="P92" s="16"/>
      <c r="Q92" s="16">
        <v>667.00660000000119</v>
      </c>
      <c r="R92" s="16"/>
      <c r="S92" s="16">
        <v>164.96610000000021</v>
      </c>
      <c r="T92" s="16">
        <v>-5000</v>
      </c>
      <c r="U92" s="41">
        <v>16.704000000000633</v>
      </c>
      <c r="V92" s="16"/>
      <c r="W92" s="41">
        <v>0</v>
      </c>
      <c r="X92" s="16"/>
      <c r="Y92" s="41">
        <v>0</v>
      </c>
      <c r="Z92" s="16"/>
      <c r="AA92" s="4"/>
      <c r="AB92" s="42">
        <f t="shared" si="2"/>
        <v>-2042.0469000000003</v>
      </c>
    </row>
    <row r="93" spans="1:28" ht="16.5" thickBot="1">
      <c r="A93" s="1" t="s">
        <v>76</v>
      </c>
      <c r="B93" s="36" t="s">
        <v>179</v>
      </c>
      <c r="C93" s="16">
        <v>5338.326699999996</v>
      </c>
      <c r="D93" s="16">
        <v>-5338.33</v>
      </c>
      <c r="E93" s="41">
        <v>7127.2490999999927</v>
      </c>
      <c r="F93" s="16"/>
      <c r="G93" s="16">
        <v>5643.2357999999931</v>
      </c>
      <c r="H93" s="16">
        <v>-7127.25</v>
      </c>
      <c r="I93" s="16">
        <v>5470.9952000000112</v>
      </c>
      <c r="J93" s="16">
        <v>-5643.24</v>
      </c>
      <c r="K93" s="16">
        <v>5252.1207000000086</v>
      </c>
      <c r="L93" s="16">
        <f>-5471-5252.12</f>
        <v>-10723.119999999999</v>
      </c>
      <c r="M93" s="16">
        <v>1832.358299999984</v>
      </c>
      <c r="N93" s="16">
        <v>-1832.36</v>
      </c>
      <c r="O93" s="56">
        <v>963.92710000001409</v>
      </c>
      <c r="P93" s="16">
        <v>-963.93</v>
      </c>
      <c r="Q93" s="16">
        <v>1148.6155999999908</v>
      </c>
      <c r="R93" s="16"/>
      <c r="S93" s="16">
        <v>2092.3050999999928</v>
      </c>
      <c r="T93" s="16">
        <f>-1148.62-2092.31</f>
        <v>-3240.93</v>
      </c>
      <c r="U93" s="41">
        <v>7098.0724000000018</v>
      </c>
      <c r="V93" s="16">
        <f>-2488-7098.07</f>
        <v>-9586.07</v>
      </c>
      <c r="W93" s="41">
        <v>8741.6114000000089</v>
      </c>
      <c r="X93" s="16">
        <v>-8741.61</v>
      </c>
      <c r="Y93" s="41">
        <v>11438.915699999998</v>
      </c>
      <c r="Z93" s="16">
        <v>-11438.92</v>
      </c>
      <c r="AA93" s="4"/>
      <c r="AB93" s="42">
        <f t="shared" si="2"/>
        <v>-2488.0269000000062</v>
      </c>
    </row>
    <row r="94" spans="1:28" ht="16.5" thickBot="1">
      <c r="A94" s="1" t="s">
        <v>77</v>
      </c>
      <c r="B94" s="36" t="s">
        <v>163</v>
      </c>
      <c r="C94" s="16">
        <v>0</v>
      </c>
      <c r="D94" s="16"/>
      <c r="E94" s="41">
        <v>0</v>
      </c>
      <c r="F94" s="16"/>
      <c r="G94" s="16">
        <v>0</v>
      </c>
      <c r="H94" s="16"/>
      <c r="I94" s="16">
        <v>0</v>
      </c>
      <c r="J94" s="16"/>
      <c r="K94" s="16">
        <v>9.4010000000000158</v>
      </c>
      <c r="L94" s="16"/>
      <c r="M94" s="16">
        <v>8.0737999999999666</v>
      </c>
      <c r="N94" s="16">
        <v>-46.79</v>
      </c>
      <c r="O94" s="56">
        <v>20.82200000000002</v>
      </c>
      <c r="P94" s="16"/>
      <c r="Q94" s="16">
        <v>8.583999999999941</v>
      </c>
      <c r="R94" s="16"/>
      <c r="S94" s="16">
        <v>0</v>
      </c>
      <c r="T94" s="16"/>
      <c r="U94" s="41">
        <v>1.45</v>
      </c>
      <c r="V94" s="16"/>
      <c r="W94" s="41">
        <v>2.2620000000000031</v>
      </c>
      <c r="X94" s="16"/>
      <c r="Y94" s="41">
        <v>0</v>
      </c>
      <c r="Z94" s="16"/>
      <c r="AA94" s="4"/>
      <c r="AB94" s="42">
        <f t="shared" si="2"/>
        <v>3.8027999999999462</v>
      </c>
    </row>
    <row r="95" spans="1:28" ht="16.5" thickBot="1">
      <c r="A95" s="1" t="s">
        <v>78</v>
      </c>
      <c r="B95" s="36" t="s">
        <v>164</v>
      </c>
      <c r="C95" s="16">
        <v>0</v>
      </c>
      <c r="D95" s="16"/>
      <c r="E95" s="41">
        <v>0</v>
      </c>
      <c r="F95" s="16"/>
      <c r="G95" s="16">
        <v>0</v>
      </c>
      <c r="H95" s="16"/>
      <c r="I95" s="16">
        <v>0</v>
      </c>
      <c r="J95" s="16">
        <v>-1450</v>
      </c>
      <c r="K95" s="16">
        <v>256.25709999999998</v>
      </c>
      <c r="L95" s="16"/>
      <c r="M95" s="16">
        <v>55.858100000000292</v>
      </c>
      <c r="N95" s="16"/>
      <c r="O95" s="56">
        <v>157.29289999999975</v>
      </c>
      <c r="P95" s="16"/>
      <c r="Q95" s="16">
        <v>145.38680000000014</v>
      </c>
      <c r="R95" s="16"/>
      <c r="S95" s="16">
        <v>203.0800999999999</v>
      </c>
      <c r="T95" s="16"/>
      <c r="U95" s="41">
        <v>2.2039999999999735</v>
      </c>
      <c r="V95" s="16"/>
      <c r="W95" s="41">
        <v>3.2479999999996836</v>
      </c>
      <c r="X95" s="16"/>
      <c r="Y95" s="41">
        <v>0</v>
      </c>
      <c r="Z95" s="16"/>
      <c r="AA95" s="4"/>
      <c r="AB95" s="42">
        <f t="shared" si="2"/>
        <v>-626.67300000000023</v>
      </c>
    </row>
    <row r="96" spans="1:28" ht="16.5" thickBot="1">
      <c r="A96" s="1" t="s">
        <v>79</v>
      </c>
      <c r="B96" s="36" t="s">
        <v>99</v>
      </c>
      <c r="C96" s="16">
        <v>5.8902999999998196</v>
      </c>
      <c r="D96" s="16"/>
      <c r="E96" s="41">
        <v>5.8739999999998895</v>
      </c>
      <c r="F96" s="16">
        <v>-1116</v>
      </c>
      <c r="G96" s="16">
        <v>5.4642000000001518</v>
      </c>
      <c r="H96" s="16"/>
      <c r="I96" s="16">
        <v>5.984599999999789</v>
      </c>
      <c r="J96" s="16">
        <v>-220</v>
      </c>
      <c r="K96" s="16">
        <v>12.415700000000172</v>
      </c>
      <c r="L96" s="16"/>
      <c r="M96" s="16">
        <v>13.897399999999859</v>
      </c>
      <c r="N96" s="16"/>
      <c r="O96" s="56">
        <v>217.33160000000021</v>
      </c>
      <c r="P96" s="16"/>
      <c r="Q96" s="16">
        <v>351.58550000000014</v>
      </c>
      <c r="R96" s="16"/>
      <c r="S96" s="16">
        <v>314.99660000000011</v>
      </c>
      <c r="T96" s="16"/>
      <c r="U96" s="41">
        <v>237.23619999999954</v>
      </c>
      <c r="V96" s="16"/>
      <c r="W96" s="41">
        <v>23.565099999999997</v>
      </c>
      <c r="X96" s="16"/>
      <c r="Y96" s="41">
        <v>7.2860000000004961</v>
      </c>
      <c r="Z96" s="16"/>
      <c r="AA96" s="4"/>
      <c r="AB96" s="42">
        <f t="shared" si="2"/>
        <v>-134.47279999999972</v>
      </c>
    </row>
    <row r="97" spans="1:28" ht="16.5" thickBot="1">
      <c r="A97" s="1" t="s">
        <v>80</v>
      </c>
      <c r="B97" s="36" t="s">
        <v>165</v>
      </c>
      <c r="C97" s="16">
        <v>0</v>
      </c>
      <c r="D97" s="16"/>
      <c r="E97" s="41">
        <v>0</v>
      </c>
      <c r="F97" s="16"/>
      <c r="G97" s="16">
        <v>0</v>
      </c>
      <c r="H97" s="16"/>
      <c r="I97" s="16">
        <v>0</v>
      </c>
      <c r="J97" s="16"/>
      <c r="K97" s="16">
        <v>666.97359999999958</v>
      </c>
      <c r="L97" s="16">
        <v>-666.97</v>
      </c>
      <c r="M97" s="16">
        <v>534.2493000000012</v>
      </c>
      <c r="N97" s="16">
        <v>-534.25</v>
      </c>
      <c r="O97" s="56">
        <v>315.0707000000005</v>
      </c>
      <c r="P97" s="16"/>
      <c r="Q97" s="16">
        <v>282.92840000000001</v>
      </c>
      <c r="R97" s="16"/>
      <c r="S97" s="16">
        <v>352.99319999999784</v>
      </c>
      <c r="T97" s="16">
        <v>-950</v>
      </c>
      <c r="U97" s="41">
        <v>881.82920000000252</v>
      </c>
      <c r="V97" s="16">
        <v>-881.83</v>
      </c>
      <c r="W97" s="41">
        <v>88.004399999998412</v>
      </c>
      <c r="X97" s="16"/>
      <c r="Y97" s="41">
        <v>0</v>
      </c>
      <c r="Z97" s="16">
        <v>-88</v>
      </c>
      <c r="AA97" s="4"/>
      <c r="AB97" s="42">
        <f t="shared" si="2"/>
        <v>0.99880000000004543</v>
      </c>
    </row>
    <row r="98" spans="1:28" ht="16.5" thickBot="1">
      <c r="A98" s="48" t="s">
        <v>81</v>
      </c>
      <c r="B98" s="47" t="s">
        <v>166</v>
      </c>
      <c r="C98" s="46"/>
      <c r="D98" s="46"/>
      <c r="E98" s="57"/>
      <c r="F98" s="46"/>
      <c r="G98" s="46"/>
      <c r="H98" s="46"/>
      <c r="I98" s="46"/>
      <c r="J98" s="46"/>
      <c r="K98" s="46"/>
      <c r="L98" s="46"/>
      <c r="M98" s="46"/>
      <c r="N98" s="46"/>
      <c r="O98" s="50"/>
      <c r="P98" s="46"/>
      <c r="Q98" s="46"/>
      <c r="R98" s="46"/>
      <c r="S98" s="46"/>
      <c r="T98" s="46"/>
      <c r="U98" s="57"/>
      <c r="V98" s="46"/>
      <c r="W98" s="57"/>
      <c r="X98" s="46"/>
      <c r="Y98" s="57"/>
      <c r="Z98" s="46"/>
      <c r="AA98" s="45"/>
      <c r="AB98" s="42">
        <f t="shared" si="2"/>
        <v>0</v>
      </c>
    </row>
    <row r="99" spans="1:28" ht="16.5" thickBot="1">
      <c r="A99" s="1" t="s">
        <v>82</v>
      </c>
      <c r="B99" s="36" t="s">
        <v>167</v>
      </c>
      <c r="C99" s="16">
        <v>3.7533999999991012</v>
      </c>
      <c r="D99" s="16"/>
      <c r="E99" s="41">
        <v>3.8835000000019408</v>
      </c>
      <c r="F99" s="16"/>
      <c r="G99" s="16">
        <v>3.5679999999959411</v>
      </c>
      <c r="H99" s="16"/>
      <c r="I99" s="16">
        <v>3.958300000003574</v>
      </c>
      <c r="J99" s="16"/>
      <c r="K99" s="16">
        <v>1444.1153999999999</v>
      </c>
      <c r="L99" s="16"/>
      <c r="M99" s="16">
        <v>1533.6047999999996</v>
      </c>
      <c r="N99" s="16">
        <f>-1362.87-1533.6</f>
        <v>-2896.47</v>
      </c>
      <c r="O99" s="56">
        <v>1832.3505999999968</v>
      </c>
      <c r="P99" s="16"/>
      <c r="Q99" s="16">
        <v>1019.3892000000027</v>
      </c>
      <c r="R99" s="16">
        <v>-1832</v>
      </c>
      <c r="S99" s="16">
        <v>1452.0042999999971</v>
      </c>
      <c r="T99" s="16">
        <v>-2500</v>
      </c>
      <c r="U99" s="41">
        <v>301.30600000000288</v>
      </c>
      <c r="V99" s="16"/>
      <c r="W99" s="41">
        <v>3.4805000000012658</v>
      </c>
      <c r="X99" s="16">
        <v>-400</v>
      </c>
      <c r="Y99" s="41">
        <v>4.3389999999960533</v>
      </c>
      <c r="Z99" s="16"/>
      <c r="AA99" s="4"/>
      <c r="AB99" s="42">
        <f t="shared" si="2"/>
        <v>-22.717000000003189</v>
      </c>
    </row>
    <row r="100" spans="1:28" ht="15.75">
      <c r="A100" s="1" t="s">
        <v>83</v>
      </c>
      <c r="B100" s="36" t="s">
        <v>168</v>
      </c>
      <c r="C100" s="16">
        <v>0</v>
      </c>
      <c r="D100" s="16"/>
      <c r="E100" s="41">
        <v>0</v>
      </c>
      <c r="F100" s="16"/>
      <c r="G100" s="16">
        <v>0</v>
      </c>
      <c r="H100" s="16"/>
      <c r="I100" s="16">
        <v>0</v>
      </c>
      <c r="J100" s="16"/>
      <c r="K100" s="16">
        <v>0</v>
      </c>
      <c r="L100" s="16"/>
      <c r="M100" s="16">
        <v>0</v>
      </c>
      <c r="N100" s="16"/>
      <c r="O100" s="56">
        <v>0</v>
      </c>
      <c r="P100" s="16"/>
      <c r="Q100" s="16">
        <v>0</v>
      </c>
      <c r="R100" s="16"/>
      <c r="S100" s="16">
        <v>0</v>
      </c>
      <c r="T100" s="16"/>
      <c r="U100" s="41">
        <v>0</v>
      </c>
      <c r="V100" s="16"/>
      <c r="W100" s="41">
        <v>0</v>
      </c>
      <c r="X100" s="16"/>
      <c r="Y100" s="41">
        <v>0</v>
      </c>
      <c r="Z100" s="16"/>
      <c r="AA100" s="4"/>
      <c r="AB100" s="42">
        <f t="shared" si="2"/>
        <v>0</v>
      </c>
    </row>
    <row r="101" spans="1:28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8"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8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8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8" spans="1:28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8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8"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9:AB110"/>
  <sheetViews>
    <sheetView topLeftCell="A2" zoomScaleNormal="100" workbookViewId="0">
      <pane xSplit="2" ySplit="9" topLeftCell="C12" activePane="bottomRight" state="frozen"/>
      <selection activeCell="A2" sqref="A2"/>
      <selection pane="topRight" activeCell="C2" sqref="C2"/>
      <selection pane="bottomLeft" activeCell="A11" sqref="A11"/>
      <selection pane="bottomRight" activeCell="B15" sqref="B15"/>
    </sheetView>
  </sheetViews>
  <sheetFormatPr defaultRowHeight="15"/>
  <cols>
    <col min="1" max="1" width="10.28515625" bestFit="1" customWidth="1"/>
    <col min="2" max="2" width="17.7109375" customWidth="1"/>
    <col min="3" max="3" width="17.28515625" bestFit="1" customWidth="1"/>
    <col min="4" max="7" width="17.28515625" customWidth="1"/>
    <col min="8" max="27" width="17.85546875" customWidth="1"/>
    <col min="28" max="28" width="16.5703125" customWidth="1"/>
  </cols>
  <sheetData>
    <row r="9" spans="1:28" ht="15.75" thickBot="1"/>
    <row r="10" spans="1:28" ht="26.25" customHeight="1" thickBot="1">
      <c r="A10" s="11" t="s">
        <v>0</v>
      </c>
      <c r="B10" s="54" t="s">
        <v>96</v>
      </c>
      <c r="C10" s="26">
        <v>42370</v>
      </c>
      <c r="D10" s="10"/>
      <c r="E10" s="26">
        <v>42401</v>
      </c>
      <c r="F10" s="10"/>
      <c r="G10" s="26">
        <v>42430</v>
      </c>
      <c r="H10" s="10"/>
      <c r="I10" s="26">
        <v>42461</v>
      </c>
      <c r="J10" s="10"/>
      <c r="K10" s="26">
        <v>42491</v>
      </c>
      <c r="L10" s="10"/>
      <c r="M10" s="26">
        <v>42522</v>
      </c>
      <c r="N10" s="10"/>
      <c r="O10" s="26">
        <v>42552</v>
      </c>
      <c r="P10" s="10"/>
      <c r="Q10" s="10">
        <v>42583</v>
      </c>
      <c r="R10" s="10"/>
      <c r="S10" s="10">
        <v>42614</v>
      </c>
      <c r="T10" s="10"/>
      <c r="U10" s="10">
        <v>42644</v>
      </c>
      <c r="V10" s="10"/>
      <c r="W10" s="10">
        <v>42675</v>
      </c>
      <c r="X10" s="10"/>
      <c r="Y10" s="10">
        <v>42705</v>
      </c>
      <c r="Z10" s="10"/>
      <c r="AA10" s="10"/>
      <c r="AB10" s="52" t="s">
        <v>84</v>
      </c>
    </row>
    <row r="11" spans="1:28" ht="16.5" thickBot="1">
      <c r="A11" s="1" t="s">
        <v>1</v>
      </c>
      <c r="B11" s="35" t="s">
        <v>97</v>
      </c>
      <c r="C11" s="15">
        <v>764.36940000000243</v>
      </c>
      <c r="D11" s="15"/>
      <c r="E11" s="15">
        <v>572.11099999999749</v>
      </c>
      <c r="F11" s="15">
        <v>-764.37</v>
      </c>
      <c r="G11" s="15">
        <v>341.08659999999975</v>
      </c>
      <c r="H11" s="15">
        <f>-572.11-341.09</f>
        <v>-913.2</v>
      </c>
      <c r="I11" s="15">
        <v>297.14189999999883</v>
      </c>
      <c r="J11" s="15"/>
      <c r="K11" s="15">
        <v>2117.6394999999998</v>
      </c>
      <c r="L11" s="15">
        <v>-297.14</v>
      </c>
      <c r="M11" s="15">
        <v>2008.1720999999998</v>
      </c>
      <c r="N11" s="15">
        <f>-2117.64-2008.17</f>
        <v>-4125.8099999999995</v>
      </c>
      <c r="O11" s="69">
        <v>1917.36</v>
      </c>
      <c r="P11" s="15">
        <v>-1917.36</v>
      </c>
      <c r="Q11" s="15">
        <v>1909.4313000000038</v>
      </c>
      <c r="R11" s="15">
        <v>-1909.43</v>
      </c>
      <c r="S11" s="15">
        <v>2957.8321999999957</v>
      </c>
      <c r="T11" s="15">
        <v>-995.62</v>
      </c>
      <c r="U11" s="15">
        <v>1271.5702000000038</v>
      </c>
      <c r="V11" s="15"/>
      <c r="W11" s="15">
        <v>351.36399999999907</v>
      </c>
      <c r="X11" s="15">
        <v>-1271.57</v>
      </c>
      <c r="Y11" s="15">
        <v>616.81819999999755</v>
      </c>
      <c r="Z11" s="15"/>
      <c r="AA11" s="51"/>
      <c r="AB11" s="42">
        <f t="shared" ref="AB11:AB42" si="0">SUM(C11:AA11)</f>
        <v>2930.3963999999983</v>
      </c>
    </row>
    <row r="12" spans="1:28" ht="16.5" thickBot="1">
      <c r="A12" s="1" t="s">
        <v>2</v>
      </c>
      <c r="B12" s="36" t="s">
        <v>98</v>
      </c>
      <c r="C12" s="16">
        <v>119.84299999999999</v>
      </c>
      <c r="D12" s="16"/>
      <c r="E12" s="16">
        <v>160.66069999999957</v>
      </c>
      <c r="F12" s="16"/>
      <c r="G12" s="16">
        <v>261.90230000000122</v>
      </c>
      <c r="H12" s="16">
        <v>-1000</v>
      </c>
      <c r="I12" s="16">
        <v>620.62400000000059</v>
      </c>
      <c r="J12" s="16"/>
      <c r="K12" s="16">
        <v>890.93179999999847</v>
      </c>
      <c r="L12" s="16"/>
      <c r="M12" s="16">
        <v>1126.5716000000016</v>
      </c>
      <c r="N12" s="16">
        <v>-3000</v>
      </c>
      <c r="O12" s="56">
        <v>850.57</v>
      </c>
      <c r="P12" s="16"/>
      <c r="Q12" s="16">
        <v>1117.7511000000009</v>
      </c>
      <c r="R12" s="16"/>
      <c r="S12" s="16">
        <v>1410.9803999999997</v>
      </c>
      <c r="T12" s="16">
        <v>-3400</v>
      </c>
      <c r="U12" s="16">
        <v>2175.7676000000015</v>
      </c>
      <c r="V12" s="16"/>
      <c r="W12" s="16">
        <v>450.01039999999796</v>
      </c>
      <c r="X12" s="16"/>
      <c r="Y12" s="16">
        <v>15.218799999999693</v>
      </c>
      <c r="Z12" s="16">
        <v>-2600</v>
      </c>
      <c r="AA12" s="4"/>
      <c r="AB12" s="42">
        <f t="shared" si="0"/>
        <v>-799.16829999999936</v>
      </c>
    </row>
    <row r="13" spans="1:28" ht="16.5" thickBot="1">
      <c r="A13" s="1" t="s">
        <v>3</v>
      </c>
      <c r="B13" s="36" t="s">
        <v>99</v>
      </c>
      <c r="C13" s="16">
        <v>3.5578000000000678</v>
      </c>
      <c r="D13" s="16"/>
      <c r="E13" s="16">
        <v>3.5229999999999748</v>
      </c>
      <c r="F13" s="16"/>
      <c r="G13" s="16">
        <v>3.3818000000000525</v>
      </c>
      <c r="H13" s="16"/>
      <c r="I13" s="16">
        <v>3.5229999999999495</v>
      </c>
      <c r="J13" s="16"/>
      <c r="K13" s="16">
        <v>55.473099999999988</v>
      </c>
      <c r="L13" s="16"/>
      <c r="M13" s="16">
        <v>136.23900000000003</v>
      </c>
      <c r="N13" s="16">
        <v>-123.29</v>
      </c>
      <c r="O13" s="56">
        <v>120</v>
      </c>
      <c r="P13" s="16"/>
      <c r="Q13" s="16">
        <v>100.68130000000002</v>
      </c>
      <c r="R13" s="16"/>
      <c r="S13" s="16">
        <v>77.743099999999956</v>
      </c>
      <c r="T13" s="16"/>
      <c r="U13" s="16">
        <v>72.607499999999916</v>
      </c>
      <c r="V13" s="16"/>
      <c r="W13" s="16">
        <v>3.5875000000000652</v>
      </c>
      <c r="X13" s="16"/>
      <c r="Y13" s="16">
        <v>3.4574000000001561</v>
      </c>
      <c r="Z13" s="16"/>
      <c r="AA13" s="4"/>
      <c r="AB13" s="42">
        <f t="shared" si="0"/>
        <v>460.4845000000002</v>
      </c>
    </row>
    <row r="14" spans="1:28" ht="16.5" thickBot="1">
      <c r="A14" s="48" t="s">
        <v>4</v>
      </c>
      <c r="B14" s="47" t="s">
        <v>100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50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5"/>
      <c r="AB14" s="42">
        <f t="shared" si="0"/>
        <v>0</v>
      </c>
    </row>
    <row r="15" spans="1:28" ht="16.5" thickBot="1">
      <c r="A15" s="48" t="s">
        <v>5</v>
      </c>
      <c r="B15" s="47" t="s">
        <v>217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50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5"/>
      <c r="AB15" s="42">
        <f t="shared" si="0"/>
        <v>0</v>
      </c>
    </row>
    <row r="16" spans="1:28" ht="16.5" thickBot="1">
      <c r="A16" s="1" t="s">
        <v>6</v>
      </c>
      <c r="B16" s="36" t="s">
        <v>101</v>
      </c>
      <c r="C16" s="16">
        <v>0</v>
      </c>
      <c r="D16" s="16"/>
      <c r="E16" s="16">
        <v>0</v>
      </c>
      <c r="F16" s="16"/>
      <c r="G16" s="16">
        <v>0</v>
      </c>
      <c r="H16" s="16"/>
      <c r="I16" s="16">
        <v>20.520299999998926</v>
      </c>
      <c r="J16" s="16"/>
      <c r="K16" s="16">
        <v>694.94890000000055</v>
      </c>
      <c r="L16" s="16"/>
      <c r="M16" s="16">
        <v>600.471</v>
      </c>
      <c r="N16" s="16"/>
      <c r="O16" s="56">
        <v>418.31</v>
      </c>
      <c r="P16" s="16">
        <v>-2000</v>
      </c>
      <c r="Q16" s="16">
        <v>705.48180000000059</v>
      </c>
      <c r="R16" s="16"/>
      <c r="S16" s="16">
        <v>495.16409999999996</v>
      </c>
      <c r="T16" s="16"/>
      <c r="U16" s="16">
        <v>262.18849999999992</v>
      </c>
      <c r="V16" s="16"/>
      <c r="W16" s="16">
        <v>16.635099999997887</v>
      </c>
      <c r="X16" s="16"/>
      <c r="Y16" s="16">
        <v>0</v>
      </c>
      <c r="Z16" s="16"/>
      <c r="AA16" s="4"/>
      <c r="AB16" s="42">
        <f t="shared" si="0"/>
        <v>1213.7196999999978</v>
      </c>
    </row>
    <row r="17" spans="1:28" ht="16.5" thickBot="1">
      <c r="A17" s="1" t="s">
        <v>7</v>
      </c>
      <c r="B17" s="36" t="s">
        <v>102</v>
      </c>
      <c r="C17" s="16">
        <v>15.90569999999955</v>
      </c>
      <c r="D17" s="16"/>
      <c r="E17" s="16">
        <v>15.940500000001938</v>
      </c>
      <c r="F17" s="16"/>
      <c r="G17" s="16">
        <v>14.93719999999921</v>
      </c>
      <c r="H17" s="16"/>
      <c r="I17" s="16">
        <v>15.976300000001091</v>
      </c>
      <c r="J17" s="16"/>
      <c r="K17" s="16">
        <v>2546.3379999999979</v>
      </c>
      <c r="L17" s="16"/>
      <c r="M17" s="16">
        <v>1192.5185000000013</v>
      </c>
      <c r="N17" s="16">
        <v>-4932.54</v>
      </c>
      <c r="O17" s="56">
        <v>1862.45</v>
      </c>
      <c r="P17" s="16"/>
      <c r="Q17" s="16">
        <v>932.63240000000053</v>
      </c>
      <c r="R17" s="16"/>
      <c r="S17" s="16">
        <v>1017.9387999999983</v>
      </c>
      <c r="T17" s="16"/>
      <c r="U17" s="16">
        <v>1197.318100000005</v>
      </c>
      <c r="V17" s="16"/>
      <c r="W17" s="16">
        <v>230.75710000000049</v>
      </c>
      <c r="X17" s="16"/>
      <c r="Y17" s="16">
        <v>16.542199999994274</v>
      </c>
      <c r="Z17" s="16"/>
      <c r="AA17" s="4"/>
      <c r="AB17" s="42">
        <f t="shared" si="0"/>
        <v>4126.7148000000007</v>
      </c>
    </row>
    <row r="18" spans="1:28" ht="16.5" thickBot="1">
      <c r="A18" s="1" t="s">
        <v>8</v>
      </c>
      <c r="B18" s="36" t="s">
        <v>103</v>
      </c>
      <c r="C18" s="16">
        <v>4.1215999999997557</v>
      </c>
      <c r="D18" s="16"/>
      <c r="E18" s="16">
        <v>4.1215999999998569</v>
      </c>
      <c r="F18" s="16"/>
      <c r="G18" s="16">
        <v>3.8402000000000118</v>
      </c>
      <c r="H18" s="16"/>
      <c r="I18" s="16">
        <v>4.1395000000003384</v>
      </c>
      <c r="J18" s="16"/>
      <c r="K18" s="16">
        <v>4.068899999999803</v>
      </c>
      <c r="L18" s="16"/>
      <c r="M18" s="16">
        <v>179.97009999999983</v>
      </c>
      <c r="N18" s="16"/>
      <c r="O18" s="56">
        <v>18.34</v>
      </c>
      <c r="P18" s="16"/>
      <c r="Q18" s="16">
        <v>57.351199999999757</v>
      </c>
      <c r="R18" s="16"/>
      <c r="S18" s="16">
        <v>4.3876000000003366</v>
      </c>
      <c r="T18" s="16"/>
      <c r="U18" s="16">
        <v>3.9030000000001479</v>
      </c>
      <c r="V18" s="16"/>
      <c r="W18" s="16">
        <v>4.1078999999999617</v>
      </c>
      <c r="X18" s="16"/>
      <c r="Y18" s="16">
        <v>3.9582999999994692</v>
      </c>
      <c r="Z18" s="16"/>
      <c r="AA18" s="4"/>
      <c r="AB18" s="42">
        <f t="shared" si="0"/>
        <v>292.30989999999935</v>
      </c>
    </row>
    <row r="19" spans="1:28" ht="16.5" thickBot="1">
      <c r="A19" s="1" t="s">
        <v>9</v>
      </c>
      <c r="B19" s="36" t="s">
        <v>104</v>
      </c>
      <c r="C19" s="16">
        <v>3.5409000000002839</v>
      </c>
      <c r="D19" s="16"/>
      <c r="E19" s="16">
        <v>3.4523999999996633</v>
      </c>
      <c r="F19" s="16"/>
      <c r="G19" s="16">
        <v>3.1710000000000211</v>
      </c>
      <c r="H19" s="16"/>
      <c r="I19" s="16">
        <v>43.87330000000005</v>
      </c>
      <c r="J19" s="16"/>
      <c r="K19" s="16">
        <v>88.657000000000153</v>
      </c>
      <c r="L19" s="16"/>
      <c r="M19" s="16">
        <v>198.8031</v>
      </c>
      <c r="N19" s="16"/>
      <c r="O19" s="56">
        <v>342.43</v>
      </c>
      <c r="P19" s="16"/>
      <c r="Q19" s="16">
        <v>390.12310000000014</v>
      </c>
      <c r="R19" s="16">
        <f>-6.99-135.7-792.19-931.35</f>
        <v>-1866.23</v>
      </c>
      <c r="S19" s="16">
        <v>187.20809999999946</v>
      </c>
      <c r="T19" s="16"/>
      <c r="U19" s="16">
        <v>47.34260000000036</v>
      </c>
      <c r="V19" s="16"/>
      <c r="W19" s="16">
        <v>34.057799999999759</v>
      </c>
      <c r="X19" s="16"/>
      <c r="Y19" s="16">
        <v>3.402099999999864</v>
      </c>
      <c r="Z19" s="16"/>
      <c r="AA19" s="4"/>
      <c r="AB19" s="42">
        <f t="shared" si="0"/>
        <v>-520.16860000000008</v>
      </c>
    </row>
    <row r="20" spans="1:28" ht="16.5" thickBot="1">
      <c r="A20" s="48" t="s">
        <v>10</v>
      </c>
      <c r="B20" s="47" t="s">
        <v>105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50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5"/>
      <c r="AB20" s="42">
        <f t="shared" si="0"/>
        <v>0</v>
      </c>
    </row>
    <row r="21" spans="1:28" ht="16.5" thickBot="1">
      <c r="A21" s="48" t="s">
        <v>11</v>
      </c>
      <c r="B21" s="47" t="s">
        <v>106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50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5"/>
      <c r="AB21" s="42">
        <f t="shared" si="0"/>
        <v>0</v>
      </c>
    </row>
    <row r="22" spans="1:28" ht="16.5" thickBot="1">
      <c r="A22" s="1" t="s">
        <v>12</v>
      </c>
      <c r="B22" s="36" t="s">
        <v>107</v>
      </c>
      <c r="C22" s="16">
        <v>263.60279999999977</v>
      </c>
      <c r="D22" s="16"/>
      <c r="E22" s="16">
        <v>350.42880000000105</v>
      </c>
      <c r="F22" s="16">
        <v>-614.03</v>
      </c>
      <c r="G22" s="16">
        <v>1338.8958000000007</v>
      </c>
      <c r="H22" s="16"/>
      <c r="I22" s="16">
        <v>504.25459999999862</v>
      </c>
      <c r="J22" s="16"/>
      <c r="K22" s="16">
        <v>711.99619999999857</v>
      </c>
      <c r="L22" s="16">
        <v>-1843.15</v>
      </c>
      <c r="M22" s="16">
        <v>418.76090000000323</v>
      </c>
      <c r="N22" s="16">
        <v>-1130.76</v>
      </c>
      <c r="O22" s="56">
        <v>433.45</v>
      </c>
      <c r="P22" s="16"/>
      <c r="Q22" s="16">
        <v>1087.2360000000012</v>
      </c>
      <c r="R22" s="16">
        <v>-1520.69</v>
      </c>
      <c r="S22" s="16">
        <v>707.30449999999871</v>
      </c>
      <c r="T22" s="16"/>
      <c r="U22" s="16">
        <v>1975.0354</v>
      </c>
      <c r="V22" s="16">
        <v>-2682.34</v>
      </c>
      <c r="W22" s="16">
        <v>986.18989999999781</v>
      </c>
      <c r="X22" s="16"/>
      <c r="Y22" s="16">
        <v>377.74380000000002</v>
      </c>
      <c r="Z22" s="16">
        <v>-1363.93</v>
      </c>
      <c r="AA22" s="4"/>
      <c r="AB22" s="42">
        <f t="shared" si="0"/>
        <v>-1.300000000583168E-3</v>
      </c>
    </row>
    <row r="23" spans="1:28" ht="16.5" thickBot="1">
      <c r="A23" s="1" t="s">
        <v>13</v>
      </c>
      <c r="B23" s="36" t="s">
        <v>108</v>
      </c>
      <c r="C23" s="16">
        <v>14.955100000000416</v>
      </c>
      <c r="D23" s="16"/>
      <c r="E23" s="16">
        <v>14.866600000001693</v>
      </c>
      <c r="F23" s="16"/>
      <c r="G23" s="16">
        <v>13.915999999999753</v>
      </c>
      <c r="H23" s="16"/>
      <c r="I23" s="16">
        <v>25.688000000000237</v>
      </c>
      <c r="J23" s="16"/>
      <c r="K23" s="16">
        <v>333.68079999999907</v>
      </c>
      <c r="L23" s="16"/>
      <c r="M23" s="16">
        <v>1196.5318999999995</v>
      </c>
      <c r="N23" s="16"/>
      <c r="O23" s="56">
        <v>1311.3</v>
      </c>
      <c r="P23" s="16">
        <v>-1196.53</v>
      </c>
      <c r="Q23" s="16">
        <v>1571.1170999999972</v>
      </c>
      <c r="R23" s="16">
        <v>-3332.87</v>
      </c>
      <c r="S23" s="16">
        <v>2167.6265000000026</v>
      </c>
      <c r="T23" s="16"/>
      <c r="U23" s="16">
        <v>1616.6204999999998</v>
      </c>
      <c r="V23" s="16"/>
      <c r="W23" s="16">
        <v>22.911600000001499</v>
      </c>
      <c r="X23" s="16"/>
      <c r="Y23" s="16">
        <v>14.779300000000905</v>
      </c>
      <c r="Z23" s="16"/>
      <c r="AA23" s="4"/>
      <c r="AB23" s="42">
        <f t="shared" si="0"/>
        <v>3774.5934000000025</v>
      </c>
    </row>
    <row r="24" spans="1:28" ht="16.5" thickBot="1">
      <c r="A24" s="1" t="s">
        <v>14</v>
      </c>
      <c r="B24" s="36" t="s">
        <v>109</v>
      </c>
      <c r="C24" s="16">
        <v>222.6757999999985</v>
      </c>
      <c r="D24" s="16"/>
      <c r="E24" s="16">
        <v>103.92450000000032</v>
      </c>
      <c r="F24" s="16"/>
      <c r="G24" s="16">
        <v>40.230600000003449</v>
      </c>
      <c r="H24" s="16"/>
      <c r="I24" s="16">
        <v>131.97239999999272</v>
      </c>
      <c r="J24" s="16"/>
      <c r="K24" s="16">
        <v>1934.4353000000046</v>
      </c>
      <c r="L24" s="16"/>
      <c r="M24" s="16">
        <v>2190.5907999999945</v>
      </c>
      <c r="N24" s="16">
        <f>-2682.01-2190.59</f>
        <v>-4872.6000000000004</v>
      </c>
      <c r="O24" s="56">
        <v>1467.1</v>
      </c>
      <c r="P24" s="16">
        <v>-1467.1</v>
      </c>
      <c r="Q24" s="16">
        <v>1752.204000000004</v>
      </c>
      <c r="R24" s="16">
        <v>-1752.2</v>
      </c>
      <c r="S24" s="16">
        <v>2879.4404999999997</v>
      </c>
      <c r="T24" s="16">
        <v>-2879.44</v>
      </c>
      <c r="U24" s="16">
        <v>3391.3606000000023</v>
      </c>
      <c r="V24" s="16">
        <v>-3391.36</v>
      </c>
      <c r="W24" s="16">
        <v>195.22449999999176</v>
      </c>
      <c r="X24" s="16"/>
      <c r="Y24" s="16">
        <v>432.35650000000055</v>
      </c>
      <c r="Z24" s="16">
        <v>-627.58000000000004</v>
      </c>
      <c r="AA24" s="4"/>
      <c r="AB24" s="42">
        <f t="shared" si="0"/>
        <v>-248.76450000000818</v>
      </c>
    </row>
    <row r="25" spans="1:28" ht="16.5" thickBot="1">
      <c r="A25" s="48" t="s">
        <v>15</v>
      </c>
      <c r="B25" s="47" t="s">
        <v>110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50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5"/>
      <c r="AB25" s="42">
        <f t="shared" si="0"/>
        <v>0</v>
      </c>
    </row>
    <row r="26" spans="1:28" ht="16.5" thickBot="1">
      <c r="A26" s="1" t="s">
        <v>16</v>
      </c>
      <c r="B26" s="36" t="s">
        <v>111</v>
      </c>
      <c r="C26" s="16">
        <v>0</v>
      </c>
      <c r="D26" s="16"/>
      <c r="E26" s="16">
        <v>0.26349999999976031</v>
      </c>
      <c r="F26" s="16"/>
      <c r="G26" s="16">
        <v>0</v>
      </c>
      <c r="H26" s="16"/>
      <c r="I26" s="16">
        <v>0</v>
      </c>
      <c r="J26" s="16"/>
      <c r="K26" s="16">
        <v>0</v>
      </c>
      <c r="L26" s="16"/>
      <c r="M26" s="16">
        <v>177.85660000000092</v>
      </c>
      <c r="N26" s="16"/>
      <c r="O26" s="56">
        <v>56.03</v>
      </c>
      <c r="P26" s="16"/>
      <c r="Q26" s="16">
        <v>6.3944000000001004</v>
      </c>
      <c r="R26" s="16"/>
      <c r="S26" s="16">
        <v>175.56210000000064</v>
      </c>
      <c r="T26" s="16"/>
      <c r="U26" s="16">
        <v>4.960099999999926</v>
      </c>
      <c r="V26" s="16"/>
      <c r="W26" s="16">
        <v>4.7031000000001599</v>
      </c>
      <c r="X26" s="16"/>
      <c r="Y26" s="16">
        <v>4.5534999999990386</v>
      </c>
      <c r="Z26" s="16"/>
      <c r="AA26" s="4"/>
      <c r="AB26" s="42">
        <f t="shared" si="0"/>
        <v>430.32330000000053</v>
      </c>
    </row>
    <row r="27" spans="1:28" ht="16.5" thickBot="1">
      <c r="A27" s="1" t="s">
        <v>17</v>
      </c>
      <c r="B27" s="36" t="s">
        <v>112</v>
      </c>
      <c r="C27" s="16">
        <v>0</v>
      </c>
      <c r="D27" s="16"/>
      <c r="E27" s="16">
        <v>0</v>
      </c>
      <c r="F27" s="16"/>
      <c r="G27" s="16">
        <v>0</v>
      </c>
      <c r="H27" s="16"/>
      <c r="I27" s="16">
        <v>0</v>
      </c>
      <c r="J27" s="16"/>
      <c r="K27" s="16">
        <v>56.682599999999809</v>
      </c>
      <c r="L27" s="16"/>
      <c r="M27" s="16">
        <v>90.232799999999784</v>
      </c>
      <c r="N27" s="16"/>
      <c r="O27" s="56">
        <v>124.42</v>
      </c>
      <c r="P27" s="16">
        <f>-220-125</f>
        <v>-345</v>
      </c>
      <c r="Q27" s="16">
        <v>177.25049999999982</v>
      </c>
      <c r="R27" s="16">
        <v>-130</v>
      </c>
      <c r="S27" s="16">
        <v>105.13740000000027</v>
      </c>
      <c r="T27" s="16"/>
      <c r="U27" s="16">
        <v>35.800899999999871</v>
      </c>
      <c r="V27" s="16"/>
      <c r="W27" s="16">
        <v>9.7327999999999495</v>
      </c>
      <c r="X27" s="16"/>
      <c r="Y27" s="16">
        <v>0</v>
      </c>
      <c r="Z27" s="16"/>
      <c r="AA27" s="4"/>
      <c r="AB27" s="42">
        <f t="shared" si="0"/>
        <v>124.25699999999951</v>
      </c>
    </row>
    <row r="28" spans="1:28" ht="16.5" thickBot="1">
      <c r="A28" s="1" t="s">
        <v>18</v>
      </c>
      <c r="B28" s="36" t="s">
        <v>113</v>
      </c>
      <c r="C28" s="16">
        <v>0</v>
      </c>
      <c r="D28" s="16"/>
      <c r="E28" s="16">
        <v>0</v>
      </c>
      <c r="F28" s="16"/>
      <c r="G28" s="16">
        <v>0</v>
      </c>
      <c r="H28" s="16"/>
      <c r="I28" s="16">
        <v>0</v>
      </c>
      <c r="J28" s="16"/>
      <c r="K28" s="16">
        <v>65.130700000000445</v>
      </c>
      <c r="L28" s="16"/>
      <c r="M28" s="16">
        <v>206.36489999999961</v>
      </c>
      <c r="N28" s="16"/>
      <c r="O28" s="56">
        <v>295.14</v>
      </c>
      <c r="P28" s="16"/>
      <c r="Q28" s="16">
        <v>291.65109999999964</v>
      </c>
      <c r="R28" s="16"/>
      <c r="S28" s="16">
        <v>243.63490000000041</v>
      </c>
      <c r="T28" s="16">
        <v>-247.02</v>
      </c>
      <c r="U28" s="16">
        <v>23.871199999999998</v>
      </c>
      <c r="V28" s="16"/>
      <c r="W28" s="16">
        <v>0</v>
      </c>
      <c r="X28" s="16"/>
      <c r="Y28" s="16">
        <v>0</v>
      </c>
      <c r="Z28" s="16"/>
      <c r="AA28" s="4"/>
      <c r="AB28" s="42">
        <f t="shared" si="0"/>
        <v>878.77280000000019</v>
      </c>
    </row>
    <row r="29" spans="1:28" ht="16.5" thickBot="1">
      <c r="A29" s="1" t="s">
        <v>19</v>
      </c>
      <c r="B29" s="36" t="s">
        <v>114</v>
      </c>
      <c r="C29" s="16">
        <v>0</v>
      </c>
      <c r="D29" s="16"/>
      <c r="E29" s="16">
        <v>0</v>
      </c>
      <c r="F29" s="16"/>
      <c r="G29" s="16">
        <v>0</v>
      </c>
      <c r="H29" s="16"/>
      <c r="I29" s="16">
        <v>0</v>
      </c>
      <c r="J29" s="16"/>
      <c r="K29" s="16">
        <v>471.05519999999979</v>
      </c>
      <c r="L29" s="16">
        <v>-471.06</v>
      </c>
      <c r="M29" s="16">
        <v>898.42939999999908</v>
      </c>
      <c r="N29" s="16">
        <v>-898.43</v>
      </c>
      <c r="O29" s="56">
        <v>1011.58</v>
      </c>
      <c r="P29" s="16">
        <v>-1011.58</v>
      </c>
      <c r="Q29" s="16">
        <v>1038.0403999999996</v>
      </c>
      <c r="R29" s="16">
        <v>-1824.29</v>
      </c>
      <c r="S29" s="16">
        <v>786.24649999999906</v>
      </c>
      <c r="T29" s="16"/>
      <c r="U29" s="16">
        <v>343.68850000000094</v>
      </c>
      <c r="V29" s="16">
        <v>-343.69</v>
      </c>
      <c r="W29" s="16">
        <v>0</v>
      </c>
      <c r="X29" s="16"/>
      <c r="Y29" s="16">
        <v>0</v>
      </c>
      <c r="Z29" s="16"/>
      <c r="AA29" s="4"/>
      <c r="AB29" s="42">
        <f t="shared" si="0"/>
        <v>-1.0000000001468834E-2</v>
      </c>
    </row>
    <row r="30" spans="1:28" ht="16.5" thickBot="1">
      <c r="A30" s="48" t="s">
        <v>20</v>
      </c>
      <c r="B30" s="47" t="s">
        <v>181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50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5"/>
      <c r="AB30" s="42">
        <f t="shared" si="0"/>
        <v>0</v>
      </c>
    </row>
    <row r="31" spans="1:28" ht="16.5" thickBot="1">
      <c r="A31" s="64" t="s">
        <v>21</v>
      </c>
      <c r="B31" s="36" t="s">
        <v>115</v>
      </c>
      <c r="C31" s="16">
        <v>2.6072000000000251</v>
      </c>
      <c r="D31" s="16"/>
      <c r="E31" s="16">
        <v>2.5365999999992979</v>
      </c>
      <c r="F31" s="16"/>
      <c r="G31" s="16">
        <v>2.307899999999913</v>
      </c>
      <c r="H31" s="16"/>
      <c r="I31" s="16">
        <v>106.4258000000009</v>
      </c>
      <c r="J31" s="16"/>
      <c r="K31" s="16">
        <v>1027.5962000000009</v>
      </c>
      <c r="L31" s="16"/>
      <c r="M31" s="16">
        <v>2096.1797999999985</v>
      </c>
      <c r="N31" s="16">
        <f>-3458.97-2100</f>
        <v>-5558.9699999999993</v>
      </c>
      <c r="O31" s="56">
        <v>1486.38</v>
      </c>
      <c r="P31" s="16"/>
      <c r="Q31" s="16">
        <v>1991.0916000000027</v>
      </c>
      <c r="R31" s="16">
        <v>-3050</v>
      </c>
      <c r="S31" s="16">
        <v>2135.4745999999977</v>
      </c>
      <c r="T31" s="16"/>
      <c r="U31" s="16">
        <v>1755.4377999999995</v>
      </c>
      <c r="V31" s="16">
        <v>-2135</v>
      </c>
      <c r="W31" s="16">
        <v>154.45960000000306</v>
      </c>
      <c r="X31" s="16"/>
      <c r="Y31" s="16">
        <v>2.4360999999999287</v>
      </c>
      <c r="Z31" s="16"/>
      <c r="AA31" s="4"/>
      <c r="AB31" s="42">
        <f t="shared" si="0"/>
        <v>18.963200000003102</v>
      </c>
    </row>
    <row r="32" spans="1:28" ht="16.5" thickBot="1">
      <c r="A32" s="1" t="s">
        <v>22</v>
      </c>
      <c r="B32" s="36" t="s">
        <v>116</v>
      </c>
      <c r="C32" s="16">
        <v>13.051899999999444</v>
      </c>
      <c r="D32" s="16"/>
      <c r="E32" s="16">
        <v>13.104600000000595</v>
      </c>
      <c r="F32" s="16">
        <f>-13.05-13.1</f>
        <v>-26.15</v>
      </c>
      <c r="G32" s="16">
        <v>12.506000000001038</v>
      </c>
      <c r="H32" s="16">
        <v>-12.51</v>
      </c>
      <c r="I32" s="16">
        <v>16.776699999998453</v>
      </c>
      <c r="J32" s="16"/>
      <c r="K32" s="16">
        <v>613.08579999999984</v>
      </c>
      <c r="L32" s="16">
        <f>-16.78-613.09</f>
        <v>-629.87</v>
      </c>
      <c r="M32" s="16">
        <v>1228.8658000000007</v>
      </c>
      <c r="N32" s="16">
        <v>-1228.8699999999999</v>
      </c>
      <c r="O32" s="56">
        <v>1637.53</v>
      </c>
      <c r="P32" s="16">
        <v>-1637.53</v>
      </c>
      <c r="Q32" s="16">
        <v>1059.9435999999998</v>
      </c>
      <c r="R32" s="16">
        <v>-1059.94</v>
      </c>
      <c r="S32" s="16">
        <v>1179.2999000000002</v>
      </c>
      <c r="T32" s="16">
        <v>-1179.3</v>
      </c>
      <c r="U32" s="16">
        <v>736.33980000000099</v>
      </c>
      <c r="V32" s="16">
        <v>-736.34</v>
      </c>
      <c r="W32" s="16">
        <v>49.514399999999711</v>
      </c>
      <c r="X32" s="16">
        <v>-49.51</v>
      </c>
      <c r="Y32" s="16">
        <v>13.823199999999261</v>
      </c>
      <c r="Z32" s="16"/>
      <c r="AA32" s="4"/>
      <c r="AB32" s="42">
        <f t="shared" si="0"/>
        <v>13.8217</v>
      </c>
    </row>
    <row r="33" spans="1:28" ht="16.5" thickBot="1">
      <c r="A33" s="1" t="s">
        <v>23</v>
      </c>
      <c r="B33" s="36" t="s">
        <v>117</v>
      </c>
      <c r="C33" s="16">
        <v>4.5651000000002568</v>
      </c>
      <c r="D33" s="16"/>
      <c r="E33" s="16">
        <v>262.23580000000283</v>
      </c>
      <c r="F33" s="16"/>
      <c r="G33" s="16">
        <v>4.0509999999987123</v>
      </c>
      <c r="H33" s="16"/>
      <c r="I33" s="16">
        <v>4.3682000000000283</v>
      </c>
      <c r="J33" s="16"/>
      <c r="K33" s="16">
        <v>243.11949999999854</v>
      </c>
      <c r="L33" s="16"/>
      <c r="M33" s="16">
        <v>2480.0015000000008</v>
      </c>
      <c r="N33" s="16">
        <v>-7300</v>
      </c>
      <c r="O33" s="56">
        <v>1162.76</v>
      </c>
      <c r="P33" s="16"/>
      <c r="Q33" s="16">
        <v>1281.0573999999951</v>
      </c>
      <c r="R33" s="16"/>
      <c r="S33" s="16">
        <v>463.82710000000469</v>
      </c>
      <c r="T33" s="16">
        <v>-8600</v>
      </c>
      <c r="U33" s="16">
        <v>187.56099999999901</v>
      </c>
      <c r="V33" s="16"/>
      <c r="W33" s="16">
        <v>4.3680999999997994</v>
      </c>
      <c r="X33" s="16"/>
      <c r="Y33" s="16">
        <v>4.237999999998733</v>
      </c>
      <c r="Z33" s="16"/>
      <c r="AA33" s="4"/>
      <c r="AB33" s="42">
        <f t="shared" si="0"/>
        <v>-9797.8472999999994</v>
      </c>
    </row>
    <row r="34" spans="1:28" ht="16.5" thickBot="1">
      <c r="A34" s="1" t="s">
        <v>24</v>
      </c>
      <c r="B34" s="36" t="s">
        <v>118</v>
      </c>
      <c r="C34" s="16">
        <v>3.8223000000000278</v>
      </c>
      <c r="D34" s="16"/>
      <c r="E34" s="16">
        <v>3.8749999999999796</v>
      </c>
      <c r="F34" s="16">
        <v>-600</v>
      </c>
      <c r="G34" s="16">
        <v>3.5757000000002521</v>
      </c>
      <c r="H34" s="16"/>
      <c r="I34" s="16">
        <v>3.8928999999999636</v>
      </c>
      <c r="J34" s="16"/>
      <c r="K34" s="16">
        <v>27.398399999999803</v>
      </c>
      <c r="L34" s="16"/>
      <c r="M34" s="16">
        <v>113.37790000000044</v>
      </c>
      <c r="N34" s="16"/>
      <c r="O34" s="56">
        <v>357.22</v>
      </c>
      <c r="P34" s="16"/>
      <c r="Q34" s="16">
        <v>271.82240000000007</v>
      </c>
      <c r="R34" s="16"/>
      <c r="S34" s="16">
        <v>502.16589999999968</v>
      </c>
      <c r="T34" s="16"/>
      <c r="U34" s="16">
        <v>12.860400000000137</v>
      </c>
      <c r="V34" s="16"/>
      <c r="W34" s="16">
        <v>3.8672000000001803</v>
      </c>
      <c r="X34" s="16"/>
      <c r="Y34" s="16">
        <v>3.772899999999527</v>
      </c>
      <c r="Z34" s="16"/>
      <c r="AA34" s="4"/>
      <c r="AB34" s="42">
        <f t="shared" si="0"/>
        <v>707.65099999999995</v>
      </c>
    </row>
    <row r="35" spans="1:28" ht="16.5" thickBot="1">
      <c r="A35" s="1" t="s">
        <v>25</v>
      </c>
      <c r="B35" s="36" t="s">
        <v>119</v>
      </c>
      <c r="C35" s="16">
        <v>0</v>
      </c>
      <c r="D35" s="16"/>
      <c r="E35" s="16">
        <v>0</v>
      </c>
      <c r="F35" s="16">
        <v>-813.99</v>
      </c>
      <c r="G35" s="16">
        <v>0</v>
      </c>
      <c r="H35" s="16"/>
      <c r="I35" s="16">
        <v>3.3201000000005747</v>
      </c>
      <c r="J35" s="16"/>
      <c r="K35" s="16">
        <v>10.645399999999903</v>
      </c>
      <c r="L35" s="16"/>
      <c r="M35" s="16">
        <v>485.53369999999984</v>
      </c>
      <c r="N35" s="16">
        <v>-499.5</v>
      </c>
      <c r="O35" s="56">
        <v>544.17999999999995</v>
      </c>
      <c r="P35" s="16">
        <v>-544.17999999999995</v>
      </c>
      <c r="Q35" s="16">
        <v>659.61120000000005</v>
      </c>
      <c r="R35" s="16"/>
      <c r="S35" s="16">
        <v>902.15440000000024</v>
      </c>
      <c r="T35" s="16"/>
      <c r="U35" s="16">
        <v>541.48120000000017</v>
      </c>
      <c r="V35" s="16">
        <v>-2103.2399999999998</v>
      </c>
      <c r="W35" s="16">
        <v>0</v>
      </c>
      <c r="X35" s="16"/>
      <c r="Y35" s="16">
        <v>0</v>
      </c>
      <c r="Z35" s="16"/>
      <c r="AA35" s="4"/>
      <c r="AB35" s="42">
        <f t="shared" si="0"/>
        <v>-813.98399999999901</v>
      </c>
    </row>
    <row r="36" spans="1:28" ht="16.5" thickBot="1">
      <c r="A36" s="1" t="s">
        <v>193</v>
      </c>
      <c r="B36" s="36" t="s">
        <v>192</v>
      </c>
      <c r="C36" s="16">
        <v>0</v>
      </c>
      <c r="D36" s="16"/>
      <c r="E36" s="16">
        <v>0</v>
      </c>
      <c r="F36" s="16">
        <v>-461.29</v>
      </c>
      <c r="G36" s="16">
        <v>0</v>
      </c>
      <c r="H36" s="16"/>
      <c r="I36" s="16">
        <v>0</v>
      </c>
      <c r="J36" s="16"/>
      <c r="K36" s="16">
        <v>0</v>
      </c>
      <c r="L36" s="16"/>
      <c r="M36" s="16">
        <v>0</v>
      </c>
      <c r="N36" s="16"/>
      <c r="O36" s="56">
        <v>360.82</v>
      </c>
      <c r="P36" s="16"/>
      <c r="Q36" s="16">
        <v>329.63040000000052</v>
      </c>
      <c r="R36" s="16"/>
      <c r="S36" s="16">
        <v>33.756199999999843</v>
      </c>
      <c r="T36" s="16"/>
      <c r="U36" s="16">
        <v>0</v>
      </c>
      <c r="V36" s="16"/>
      <c r="W36" s="16">
        <v>0</v>
      </c>
      <c r="X36" s="16"/>
      <c r="Y36" s="16">
        <v>0</v>
      </c>
      <c r="Z36" s="16"/>
      <c r="AA36" s="4"/>
      <c r="AB36" s="42">
        <f t="shared" si="0"/>
        <v>262.91660000000036</v>
      </c>
    </row>
    <row r="37" spans="1:28" ht="16.5" thickBot="1">
      <c r="A37" s="1" t="s">
        <v>26</v>
      </c>
      <c r="B37" s="36" t="s">
        <v>120</v>
      </c>
      <c r="C37" s="16">
        <v>4.0689000000005038</v>
      </c>
      <c r="D37" s="16"/>
      <c r="E37" s="16">
        <v>3.9982999999993702</v>
      </c>
      <c r="F37" s="16"/>
      <c r="G37" s="16">
        <v>3.7696000000005729</v>
      </c>
      <c r="H37" s="16"/>
      <c r="I37" s="16">
        <v>4.0340999999993379</v>
      </c>
      <c r="J37" s="16"/>
      <c r="K37" s="16">
        <v>55.334500000000673</v>
      </c>
      <c r="L37" s="16"/>
      <c r="M37" s="16">
        <v>301.45629999999949</v>
      </c>
      <c r="N37" s="16"/>
      <c r="O37" s="56">
        <v>426.42</v>
      </c>
      <c r="P37" s="16">
        <v>-1570</v>
      </c>
      <c r="Q37" s="16">
        <v>524.8055999999998</v>
      </c>
      <c r="R37" s="16"/>
      <c r="S37" s="16">
        <v>349.30770000000024</v>
      </c>
      <c r="T37" s="16"/>
      <c r="U37" s="16">
        <v>4.0331000000005472</v>
      </c>
      <c r="V37" s="16"/>
      <c r="W37" s="16">
        <v>37.461600000000026</v>
      </c>
      <c r="X37" s="16"/>
      <c r="Y37" s="16">
        <v>161.25179999999918</v>
      </c>
      <c r="Z37" s="16"/>
      <c r="AA37" s="4"/>
      <c r="AB37" s="42">
        <f t="shared" si="0"/>
        <v>305.94149999999973</v>
      </c>
    </row>
    <row r="38" spans="1:28" ht="16.5" thickBot="1">
      <c r="A38" s="1" t="s">
        <v>27</v>
      </c>
      <c r="B38" s="36" t="s">
        <v>121</v>
      </c>
      <c r="C38" s="16">
        <v>0</v>
      </c>
      <c r="D38" s="16"/>
      <c r="E38" s="16">
        <v>0</v>
      </c>
      <c r="F38" s="16"/>
      <c r="G38" s="16">
        <v>0</v>
      </c>
      <c r="H38" s="16"/>
      <c r="I38" s="16">
        <v>0</v>
      </c>
      <c r="J38" s="16"/>
      <c r="K38" s="16">
        <v>0</v>
      </c>
      <c r="L38" s="16"/>
      <c r="M38" s="16">
        <v>121.01720000000003</v>
      </c>
      <c r="N38" s="16">
        <v>-700</v>
      </c>
      <c r="O38" s="56">
        <v>113.91</v>
      </c>
      <c r="P38" s="16"/>
      <c r="Q38" s="16">
        <v>4.4071000000001153</v>
      </c>
      <c r="R38" s="16"/>
      <c r="S38" s="16">
        <v>4.722600000000142</v>
      </c>
      <c r="T38" s="16"/>
      <c r="U38" s="16">
        <v>209.72239999999999</v>
      </c>
      <c r="V38" s="16"/>
      <c r="W38" s="16">
        <v>4.5177000000000138</v>
      </c>
      <c r="X38" s="16"/>
      <c r="Y38" s="16">
        <v>1.4310999999998633</v>
      </c>
      <c r="Z38" s="16"/>
      <c r="AA38" s="4"/>
      <c r="AB38" s="42">
        <f t="shared" si="0"/>
        <v>-240.27189999999985</v>
      </c>
    </row>
    <row r="39" spans="1:28" ht="16.5" thickBot="1">
      <c r="A39" s="1" t="s">
        <v>28</v>
      </c>
      <c r="B39" s="36" t="s">
        <v>122</v>
      </c>
      <c r="C39" s="16">
        <v>0</v>
      </c>
      <c r="D39" s="16"/>
      <c r="E39" s="16">
        <v>5.2699999999952063E-2</v>
      </c>
      <c r="F39" s="16"/>
      <c r="G39" s="16">
        <v>5.2700000000026954E-2</v>
      </c>
      <c r="H39" s="16"/>
      <c r="I39" s="16">
        <v>0</v>
      </c>
      <c r="J39" s="16"/>
      <c r="K39" s="16">
        <v>16.705900000000007</v>
      </c>
      <c r="L39" s="16"/>
      <c r="M39" s="16">
        <v>28.139899999999955</v>
      </c>
      <c r="N39" s="16"/>
      <c r="O39" s="56">
        <v>90.28</v>
      </c>
      <c r="P39" s="16"/>
      <c r="Q39" s="16">
        <v>104.30230000000005</v>
      </c>
      <c r="R39" s="16"/>
      <c r="S39" s="16">
        <v>19.1524</v>
      </c>
      <c r="T39" s="16"/>
      <c r="U39" s="16">
        <v>26.156899999999943</v>
      </c>
      <c r="V39" s="16"/>
      <c r="W39" s="16">
        <v>0</v>
      </c>
      <c r="X39" s="16"/>
      <c r="Y39" s="16">
        <v>0</v>
      </c>
      <c r="Z39" s="16"/>
      <c r="AA39" s="4"/>
      <c r="AB39" s="42">
        <f t="shared" si="0"/>
        <v>284.84279999999995</v>
      </c>
    </row>
    <row r="40" spans="1:28" ht="16.5" thickBot="1">
      <c r="A40" s="1" t="s">
        <v>29</v>
      </c>
      <c r="B40" s="36" t="s">
        <v>123</v>
      </c>
      <c r="C40" s="16">
        <v>0</v>
      </c>
      <c r="D40" s="16"/>
      <c r="E40" s="16">
        <v>0</v>
      </c>
      <c r="F40" s="16"/>
      <c r="G40" s="16">
        <v>0</v>
      </c>
      <c r="H40" s="16"/>
      <c r="I40" s="16">
        <v>0</v>
      </c>
      <c r="J40" s="16"/>
      <c r="K40" s="16">
        <v>962.64310000000114</v>
      </c>
      <c r="L40" s="16"/>
      <c r="M40" s="16">
        <v>1107.5057000000008</v>
      </c>
      <c r="N40" s="16">
        <f>-575.26-962.64-1107.51</f>
        <v>-2645.41</v>
      </c>
      <c r="O40" s="56">
        <v>842.65</v>
      </c>
      <c r="P40" s="16">
        <v>-842.65</v>
      </c>
      <c r="Q40" s="16">
        <v>1013.1141000000013</v>
      </c>
      <c r="R40" s="16"/>
      <c r="S40" s="16">
        <v>1933.991100000002</v>
      </c>
      <c r="T40" s="16">
        <v>-2947.1</v>
      </c>
      <c r="U40" s="16">
        <v>652.57459999999833</v>
      </c>
      <c r="V40" s="16"/>
      <c r="W40" s="16">
        <v>0</v>
      </c>
      <c r="X40" s="16"/>
      <c r="Y40" s="16">
        <v>0</v>
      </c>
      <c r="Z40" s="16"/>
      <c r="AA40" s="4"/>
      <c r="AB40" s="42">
        <f t="shared" si="0"/>
        <v>77.318600000003471</v>
      </c>
    </row>
    <row r="41" spans="1:28" ht="16.5" thickBot="1">
      <c r="A41" s="48" t="s">
        <v>30</v>
      </c>
      <c r="B41" s="47" t="s">
        <v>124</v>
      </c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50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5"/>
      <c r="AB41" s="42">
        <f t="shared" si="0"/>
        <v>0</v>
      </c>
    </row>
    <row r="42" spans="1:28" ht="16.5" thickBot="1">
      <c r="A42" s="1" t="s">
        <v>31</v>
      </c>
      <c r="B42" s="36" t="s">
        <v>125</v>
      </c>
      <c r="C42" s="16">
        <v>6.4603000000009292</v>
      </c>
      <c r="D42" s="16"/>
      <c r="E42" s="16">
        <v>7.9179999999996031</v>
      </c>
      <c r="F42" s="16"/>
      <c r="G42" s="16">
        <v>4.527299999999884</v>
      </c>
      <c r="H42" s="16"/>
      <c r="I42" s="16">
        <v>99.380599999998736</v>
      </c>
      <c r="J42" s="16"/>
      <c r="K42" s="16">
        <v>253.88450000000086</v>
      </c>
      <c r="L42" s="16"/>
      <c r="M42" s="16">
        <v>514.06100000000015</v>
      </c>
      <c r="N42" s="16">
        <v>-4450</v>
      </c>
      <c r="O42" s="56">
        <v>443.54</v>
      </c>
      <c r="P42" s="16"/>
      <c r="Q42" s="16">
        <v>388.45930000000021</v>
      </c>
      <c r="R42" s="16"/>
      <c r="S42" s="16">
        <v>666.09699999999884</v>
      </c>
      <c r="T42" s="16"/>
      <c r="U42" s="16">
        <v>671.47309999999993</v>
      </c>
      <c r="V42" s="16"/>
      <c r="W42" s="16">
        <v>8.9254000000003142</v>
      </c>
      <c r="X42" s="16"/>
      <c r="Y42" s="16">
        <v>4.7030999999986811</v>
      </c>
      <c r="Z42" s="16"/>
      <c r="AA42" s="4"/>
      <c r="AB42" s="42">
        <f t="shared" si="0"/>
        <v>-1380.5704000000017</v>
      </c>
    </row>
    <row r="43" spans="1:28" ht="16.5" thickBot="1">
      <c r="A43" s="1" t="s">
        <v>32</v>
      </c>
      <c r="B43" s="36" t="s">
        <v>126</v>
      </c>
      <c r="C43" s="16">
        <v>11.09700000000112</v>
      </c>
      <c r="D43" s="16"/>
      <c r="E43" s="16">
        <v>11.167599999997055</v>
      </c>
      <c r="F43" s="16"/>
      <c r="G43" s="16">
        <v>10.375100000001371</v>
      </c>
      <c r="H43" s="16"/>
      <c r="I43" s="16">
        <v>11.290899999999747</v>
      </c>
      <c r="J43" s="16"/>
      <c r="K43" s="16">
        <v>301.58549999999741</v>
      </c>
      <c r="L43" s="16">
        <f>-24.57-345.55</f>
        <v>-370.12</v>
      </c>
      <c r="M43" s="16">
        <v>1241.6220000000028</v>
      </c>
      <c r="N43" s="16">
        <v>-1241.6300000000001</v>
      </c>
      <c r="O43" s="56">
        <v>1593</v>
      </c>
      <c r="P43" s="16">
        <v>-1593</v>
      </c>
      <c r="Q43" s="16">
        <v>1674.0543999999991</v>
      </c>
      <c r="R43" s="16">
        <v>-1674.05</v>
      </c>
      <c r="S43" s="16">
        <v>1526.0922999999993</v>
      </c>
      <c r="T43" s="16">
        <v>-1526.09</v>
      </c>
      <c r="U43" s="16">
        <v>1363.5563000000011</v>
      </c>
      <c r="V43" s="16">
        <v>-1363.56</v>
      </c>
      <c r="W43" s="16">
        <v>42.51109999999958</v>
      </c>
      <c r="X43" s="16"/>
      <c r="Y43" s="16">
        <v>10.93160000000019</v>
      </c>
      <c r="Z43" s="16">
        <v>-53.46</v>
      </c>
      <c r="AA43" s="4"/>
      <c r="AB43" s="42">
        <f t="shared" ref="AB43:AB74" si="1">SUM(C43:AA43)</f>
        <v>-24.626200000001091</v>
      </c>
    </row>
    <row r="44" spans="1:28" ht="16.5" thickBot="1">
      <c r="A44" s="48" t="s">
        <v>33</v>
      </c>
      <c r="B44" s="47" t="s">
        <v>127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50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5"/>
      <c r="AB44" s="42">
        <f t="shared" si="1"/>
        <v>0</v>
      </c>
    </row>
    <row r="45" spans="1:28" ht="15.75" customHeight="1" thickBot="1">
      <c r="A45" s="1" t="s">
        <v>34</v>
      </c>
      <c r="B45" s="36" t="s">
        <v>128</v>
      </c>
      <c r="C45" s="16">
        <v>17942.706900000001</v>
      </c>
      <c r="D45" s="16"/>
      <c r="E45" s="16">
        <v>6921.5739000000303</v>
      </c>
      <c r="F45" s="16">
        <v>-17942.71</v>
      </c>
      <c r="G45" s="16">
        <v>6948.8602999999912</v>
      </c>
      <c r="H45" s="16">
        <f>-6921.57-6948.86</f>
        <v>-13870.43</v>
      </c>
      <c r="I45" s="16">
        <v>3924.6828999999702</v>
      </c>
      <c r="J45" s="16">
        <v>-3924.68</v>
      </c>
      <c r="K45" s="16">
        <v>3365.6231000000348</v>
      </c>
      <c r="L45" s="16">
        <v>-3365.62</v>
      </c>
      <c r="M45" s="16">
        <v>3678.5601999999799</v>
      </c>
      <c r="N45" s="16">
        <v>-3678.56</v>
      </c>
      <c r="O45" s="56">
        <v>2521.36</v>
      </c>
      <c r="P45" s="16">
        <v>-2521.36</v>
      </c>
      <c r="Q45" s="16">
        <v>2607.2208000000078</v>
      </c>
      <c r="R45" s="16"/>
      <c r="S45" s="16">
        <v>5983.2799999999834</v>
      </c>
      <c r="T45" s="16">
        <f>-2607.22-5983.28</f>
        <v>-8590.5</v>
      </c>
      <c r="U45" s="16">
        <v>4735.4039999999941</v>
      </c>
      <c r="V45" s="16">
        <v>-4735.3999999999996</v>
      </c>
      <c r="W45" s="16">
        <v>11779.408399999997</v>
      </c>
      <c r="X45" s="16">
        <v>-11779.41</v>
      </c>
      <c r="Y45" s="16">
        <v>8579.9054000000069</v>
      </c>
      <c r="Z45" s="16"/>
      <c r="AA45" s="4"/>
      <c r="AB45" s="42">
        <f t="shared" si="1"/>
        <v>8579.9158999999963</v>
      </c>
    </row>
    <row r="46" spans="1:28" ht="16.5" thickBot="1">
      <c r="A46" s="1" t="s">
        <v>191</v>
      </c>
      <c r="B46" s="36" t="s">
        <v>190</v>
      </c>
      <c r="C46" s="16">
        <v>4.3861000000004191</v>
      </c>
      <c r="D46" s="16"/>
      <c r="E46" s="16">
        <v>4.4209000000011791</v>
      </c>
      <c r="F46" s="16"/>
      <c r="G46" s="16">
        <v>4.1216000000002531</v>
      </c>
      <c r="H46" s="16"/>
      <c r="I46" s="16">
        <v>4.4039999999999955</v>
      </c>
      <c r="J46" s="16"/>
      <c r="K46" s="16">
        <v>5.1586999999989249</v>
      </c>
      <c r="L46" s="16"/>
      <c r="M46" s="16">
        <v>716.8119999999999</v>
      </c>
      <c r="N46" s="16"/>
      <c r="O46" s="56">
        <v>589.04</v>
      </c>
      <c r="P46" s="16">
        <v>-2000</v>
      </c>
      <c r="Q46" s="16">
        <v>161.89720000000045</v>
      </c>
      <c r="R46" s="16"/>
      <c r="S46" s="16">
        <v>98.812300000000064</v>
      </c>
      <c r="T46" s="16"/>
      <c r="U46" s="16">
        <v>9.4652999999993792</v>
      </c>
      <c r="V46" s="16"/>
      <c r="W46" s="16">
        <v>4.4233999999993783</v>
      </c>
      <c r="X46" s="16"/>
      <c r="Y46" s="16">
        <v>4.2932999999990535</v>
      </c>
      <c r="Z46" s="16"/>
      <c r="AA46" s="4"/>
      <c r="AB46" s="42">
        <f t="shared" si="1"/>
        <v>-392.76520000000096</v>
      </c>
    </row>
    <row r="47" spans="1:28" ht="16.5" thickBot="1">
      <c r="A47" s="1" t="s">
        <v>35</v>
      </c>
      <c r="B47" s="36" t="s">
        <v>189</v>
      </c>
      <c r="C47" s="16">
        <v>0</v>
      </c>
      <c r="D47" s="16"/>
      <c r="E47" s="16">
        <v>0</v>
      </c>
      <c r="F47" s="16"/>
      <c r="G47" s="16">
        <v>0</v>
      </c>
      <c r="H47" s="16"/>
      <c r="I47" s="16">
        <v>0</v>
      </c>
      <c r="J47" s="16"/>
      <c r="K47" s="16">
        <v>0</v>
      </c>
      <c r="L47" s="16"/>
      <c r="M47" s="16">
        <v>5.2024000000000381</v>
      </c>
      <c r="N47" s="16"/>
      <c r="O47" s="56">
        <v>33.700000000000003</v>
      </c>
      <c r="P47" s="16">
        <v>-500</v>
      </c>
      <c r="Q47" s="16">
        <v>11.910700000000022</v>
      </c>
      <c r="R47" s="16"/>
      <c r="S47" s="16">
        <v>15.513099999999916</v>
      </c>
      <c r="T47" s="16"/>
      <c r="U47" s="16">
        <v>0</v>
      </c>
      <c r="V47" s="16"/>
      <c r="W47" s="16">
        <v>0</v>
      </c>
      <c r="X47" s="16"/>
      <c r="Y47" s="16">
        <v>0</v>
      </c>
      <c r="Z47" s="16"/>
      <c r="AA47" s="4"/>
      <c r="AB47" s="42">
        <f t="shared" si="1"/>
        <v>-433.67380000000003</v>
      </c>
    </row>
    <row r="48" spans="1:28" ht="16.5" thickBot="1">
      <c r="A48" s="1" t="s">
        <v>36</v>
      </c>
      <c r="B48" s="36" t="s">
        <v>172</v>
      </c>
      <c r="C48" s="16">
        <v>3124.6948000000134</v>
      </c>
      <c r="D48" s="16">
        <v>-3130</v>
      </c>
      <c r="E48" s="16">
        <v>2590.8012999999905</v>
      </c>
      <c r="F48" s="16">
        <v>-2600</v>
      </c>
      <c r="G48" s="16">
        <v>17734.23539999999</v>
      </c>
      <c r="H48" s="16">
        <v>-17740</v>
      </c>
      <c r="I48" s="16">
        <v>24371.116800000029</v>
      </c>
      <c r="J48" s="16">
        <v>-24400</v>
      </c>
      <c r="K48" s="16">
        <v>6149.3669999999893</v>
      </c>
      <c r="L48" s="16">
        <v>-6150</v>
      </c>
      <c r="M48" s="16">
        <v>5158.8755000000056</v>
      </c>
      <c r="N48" s="16">
        <v>-5160</v>
      </c>
      <c r="O48" s="56">
        <v>3677.33</v>
      </c>
      <c r="P48" s="16">
        <v>-3680</v>
      </c>
      <c r="Q48" s="16">
        <v>4485.038500000006</v>
      </c>
      <c r="R48" s="16">
        <v>-4490</v>
      </c>
      <c r="S48" s="16">
        <v>6307.690399999974</v>
      </c>
      <c r="T48" s="16">
        <v>-6308</v>
      </c>
      <c r="U48" s="16">
        <v>9344.498500000027</v>
      </c>
      <c r="V48" s="16">
        <v>-9345</v>
      </c>
      <c r="W48" s="16">
        <v>34073.533700000015</v>
      </c>
      <c r="X48" s="16">
        <v>-35000</v>
      </c>
      <c r="Y48" s="16">
        <v>14538.613799999965</v>
      </c>
      <c r="Z48" s="16">
        <v>-14550</v>
      </c>
      <c r="AA48" s="4"/>
      <c r="AB48" s="42">
        <f t="shared" si="1"/>
        <v>-997.20429999999578</v>
      </c>
    </row>
    <row r="49" spans="1:28" ht="16.5" thickBot="1">
      <c r="A49" s="1" t="s">
        <v>37</v>
      </c>
      <c r="B49" s="36" t="s">
        <v>129</v>
      </c>
      <c r="C49" s="16">
        <v>12.928599999999658</v>
      </c>
      <c r="D49" s="16"/>
      <c r="E49" s="16">
        <v>12.999200000000588</v>
      </c>
      <c r="F49" s="16"/>
      <c r="G49" s="16">
        <v>12.048600000000254</v>
      </c>
      <c r="H49" s="16"/>
      <c r="I49" s="16">
        <v>12.964399999999626</v>
      </c>
      <c r="J49" s="16"/>
      <c r="K49" s="16">
        <v>254.0251999999995</v>
      </c>
      <c r="L49" s="16">
        <v>-63</v>
      </c>
      <c r="M49" s="16">
        <v>383.14770000000078</v>
      </c>
      <c r="N49" s="16">
        <f>-254.3-1000</f>
        <v>-1254.3</v>
      </c>
      <c r="O49" s="56">
        <v>634.89</v>
      </c>
      <c r="P49" s="16"/>
      <c r="Q49" s="16">
        <v>546.73459999999807</v>
      </c>
      <c r="R49" s="16"/>
      <c r="S49" s="16">
        <v>758.53620000000024</v>
      </c>
      <c r="T49" s="16">
        <v>-758.54</v>
      </c>
      <c r="U49" s="16">
        <v>606.56489999999962</v>
      </c>
      <c r="V49" s="16">
        <f>-793.33-800</f>
        <v>-1593.33</v>
      </c>
      <c r="W49" s="16">
        <v>13.309200000002466</v>
      </c>
      <c r="X49" s="16"/>
      <c r="Y49" s="16">
        <v>12.844099999998893</v>
      </c>
      <c r="Z49" s="16"/>
      <c r="AA49" s="4"/>
      <c r="AB49" s="42">
        <f t="shared" si="1"/>
        <v>-408.17730000000023</v>
      </c>
    </row>
    <row r="50" spans="1:28" ht="16.5" thickBot="1">
      <c r="A50" s="1" t="s">
        <v>38</v>
      </c>
      <c r="B50" s="36" t="s">
        <v>130</v>
      </c>
      <c r="C50" s="16">
        <v>0</v>
      </c>
      <c r="D50" s="16"/>
      <c r="E50" s="16">
        <v>0</v>
      </c>
      <c r="F50" s="16"/>
      <c r="G50" s="16">
        <v>0</v>
      </c>
      <c r="H50" s="16"/>
      <c r="I50" s="16">
        <v>0</v>
      </c>
      <c r="J50" s="16"/>
      <c r="K50" s="16">
        <v>0.63240000000002394</v>
      </c>
      <c r="L50" s="16"/>
      <c r="M50" s="16">
        <v>0</v>
      </c>
      <c r="N50" s="16"/>
      <c r="O50" s="56">
        <v>41</v>
      </c>
      <c r="P50" s="16"/>
      <c r="Q50" s="16">
        <v>0</v>
      </c>
      <c r="R50" s="16"/>
      <c r="S50" s="16">
        <v>0</v>
      </c>
      <c r="T50" s="16"/>
      <c r="U50" s="16">
        <v>0</v>
      </c>
      <c r="V50" s="16"/>
      <c r="W50" s="16">
        <v>0</v>
      </c>
      <c r="X50" s="16"/>
      <c r="Y50" s="16">
        <v>0</v>
      </c>
      <c r="Z50" s="16"/>
      <c r="AA50" s="4"/>
      <c r="AB50" s="42">
        <f t="shared" si="1"/>
        <v>41.632400000000025</v>
      </c>
    </row>
    <row r="51" spans="1:28" ht="16.5" thickBot="1">
      <c r="A51" s="1" t="s">
        <v>39</v>
      </c>
      <c r="B51" s="36" t="s">
        <v>131</v>
      </c>
      <c r="C51" s="16">
        <v>3.505100000000041</v>
      </c>
      <c r="D51" s="16"/>
      <c r="E51" s="16">
        <v>3.6810999999999554</v>
      </c>
      <c r="F51" s="16"/>
      <c r="G51" s="16">
        <v>3.4524000000000137</v>
      </c>
      <c r="H51" s="16"/>
      <c r="I51" s="16">
        <v>3.5935999999999857</v>
      </c>
      <c r="J51" s="16"/>
      <c r="K51" s="16">
        <v>3.3996999999999868</v>
      </c>
      <c r="L51" s="16"/>
      <c r="M51" s="16">
        <v>3.5588000000000428</v>
      </c>
      <c r="N51" s="16"/>
      <c r="O51" s="56">
        <v>3.55</v>
      </c>
      <c r="P51" s="16"/>
      <c r="Q51" s="16">
        <v>3.8119000000000733</v>
      </c>
      <c r="R51" s="16"/>
      <c r="S51" s="16">
        <v>3.8671999999999169</v>
      </c>
      <c r="T51" s="16"/>
      <c r="U51" s="16">
        <v>3.4574000000000265</v>
      </c>
      <c r="V51" s="16"/>
      <c r="W51" s="16">
        <v>3.4573999999999989</v>
      </c>
      <c r="X51" s="16"/>
      <c r="Y51" s="16">
        <v>3.4573999999999989</v>
      </c>
      <c r="Z51" s="16"/>
      <c r="AA51" s="4"/>
      <c r="AB51" s="42">
        <f t="shared" si="1"/>
        <v>42.792000000000044</v>
      </c>
    </row>
    <row r="52" spans="1:28" ht="16.5" thickBot="1">
      <c r="A52" s="1" t="s">
        <v>40</v>
      </c>
      <c r="B52" s="36" t="s">
        <v>132</v>
      </c>
      <c r="C52" s="16">
        <v>4.5094000000001042</v>
      </c>
      <c r="D52" s="16"/>
      <c r="E52" s="16">
        <v>4.5800000000012382</v>
      </c>
      <c r="F52" s="16"/>
      <c r="G52" s="16">
        <v>4.2449000000003441</v>
      </c>
      <c r="H52" s="16"/>
      <c r="I52" s="16">
        <v>8.0054999999993193</v>
      </c>
      <c r="J52" s="16"/>
      <c r="K52" s="16">
        <v>763.06750000000056</v>
      </c>
      <c r="L52" s="16"/>
      <c r="M52" s="16">
        <v>1234.619199999999</v>
      </c>
      <c r="N52" s="16"/>
      <c r="O52" s="56">
        <v>935.2</v>
      </c>
      <c r="P52" s="16">
        <v>-4158</v>
      </c>
      <c r="Q52" s="16">
        <v>1100.8153999999993</v>
      </c>
      <c r="R52" s="16">
        <v>-1100.82</v>
      </c>
      <c r="S52" s="16">
        <v>803.50170000000094</v>
      </c>
      <c r="T52" s="16"/>
      <c r="U52" s="16">
        <v>4.4428999999989172</v>
      </c>
      <c r="V52" s="16"/>
      <c r="W52" s="16">
        <v>4.5729999999992428</v>
      </c>
      <c r="X52" s="16"/>
      <c r="Y52" s="16">
        <v>4.4429000000014325</v>
      </c>
      <c r="Z52" s="16"/>
      <c r="AA52" s="4"/>
      <c r="AB52" s="42">
        <f t="shared" si="1"/>
        <v>-386.81759999999946</v>
      </c>
    </row>
    <row r="53" spans="1:28" ht="16.5" thickBot="1">
      <c r="A53" s="1" t="s">
        <v>41</v>
      </c>
      <c r="B53" s="36" t="s">
        <v>133</v>
      </c>
      <c r="C53" s="16">
        <v>60.410399999993025</v>
      </c>
      <c r="D53" s="16">
        <v>-2766.54</v>
      </c>
      <c r="E53" s="16">
        <v>1819.6330999999993</v>
      </c>
      <c r="F53" s="16"/>
      <c r="G53" s="16">
        <v>98.597000000005409</v>
      </c>
      <c r="H53" s="16">
        <v>-1978.64</v>
      </c>
      <c r="I53" s="16">
        <v>2908.1020999999946</v>
      </c>
      <c r="J53" s="16"/>
      <c r="K53" s="16">
        <v>1692.6933000000033</v>
      </c>
      <c r="L53" s="16">
        <v>-4600.79</v>
      </c>
      <c r="M53" s="16">
        <v>1757.6402999999973</v>
      </c>
      <c r="N53" s="16"/>
      <c r="O53" s="56">
        <v>1327.14</v>
      </c>
      <c r="P53" s="16">
        <v>-3084.78</v>
      </c>
      <c r="Q53" s="16">
        <v>1402.6075000000001</v>
      </c>
      <c r="R53" s="16"/>
      <c r="S53" s="16">
        <v>2414.0628000000002</v>
      </c>
      <c r="T53" s="16">
        <v>-3816.67</v>
      </c>
      <c r="U53" s="16">
        <v>3208.1895999999983</v>
      </c>
      <c r="V53" s="16"/>
      <c r="W53" s="16">
        <v>37.75090000000398</v>
      </c>
      <c r="X53" s="16">
        <v>-3245.94</v>
      </c>
      <c r="Y53" s="16">
        <v>48.954099999997048</v>
      </c>
      <c r="Z53" s="16"/>
      <c r="AA53" s="4"/>
      <c r="AB53" s="42">
        <f t="shared" si="1"/>
        <v>-2717.5789000000077</v>
      </c>
    </row>
    <row r="54" spans="1:28" ht="16.5" thickBot="1">
      <c r="A54" s="1" t="s">
        <v>42</v>
      </c>
      <c r="B54" s="36" t="s">
        <v>189</v>
      </c>
      <c r="C54" s="16">
        <v>4.386099999994812</v>
      </c>
      <c r="D54" s="16"/>
      <c r="E54" s="16">
        <v>4.3155000000044854</v>
      </c>
      <c r="F54" s="16"/>
      <c r="G54" s="16">
        <v>4.0161999999979523</v>
      </c>
      <c r="H54" s="16"/>
      <c r="I54" s="16">
        <v>4.3334000000040618</v>
      </c>
      <c r="J54" s="16"/>
      <c r="K54" s="16">
        <v>4.0867999999986795</v>
      </c>
      <c r="L54" s="16"/>
      <c r="M54" s="16">
        <v>30.993900000003414</v>
      </c>
      <c r="N54" s="16"/>
      <c r="O54" s="56">
        <v>162.22</v>
      </c>
      <c r="P54" s="16">
        <v>-2000</v>
      </c>
      <c r="Q54" s="16">
        <v>650.16999999999962</v>
      </c>
      <c r="R54" s="16"/>
      <c r="S54" s="16">
        <v>2419.266600000004</v>
      </c>
      <c r="T54" s="16"/>
      <c r="U54" s="16">
        <v>1351.7261000000055</v>
      </c>
      <c r="V54" s="16"/>
      <c r="W54" s="16">
        <v>4.3322999999981313</v>
      </c>
      <c r="X54" s="16"/>
      <c r="Y54" s="16">
        <v>4.2021999999970649</v>
      </c>
      <c r="Z54" s="16"/>
      <c r="AA54" s="4"/>
      <c r="AB54" s="42">
        <f t="shared" si="1"/>
        <v>2644.0491000000075</v>
      </c>
    </row>
    <row r="55" spans="1:28" ht="16.5" thickBot="1">
      <c r="A55" s="1" t="s">
        <v>43</v>
      </c>
      <c r="B55" s="36" t="s">
        <v>135</v>
      </c>
      <c r="C55" s="16">
        <v>0.61650000000014016</v>
      </c>
      <c r="D55" s="16"/>
      <c r="E55" s="16">
        <v>0.563799999999538</v>
      </c>
      <c r="F55" s="16"/>
      <c r="G55" s="16">
        <v>0.54590000000020433</v>
      </c>
      <c r="H55" s="16"/>
      <c r="I55" s="16">
        <v>0.56380000000013719</v>
      </c>
      <c r="J55" s="16"/>
      <c r="K55" s="16">
        <v>9.0703999999998448</v>
      </c>
      <c r="L55" s="16"/>
      <c r="M55" s="16">
        <v>73.288400000000181</v>
      </c>
      <c r="N55" s="16"/>
      <c r="O55" s="56">
        <v>286.33</v>
      </c>
      <c r="P55" s="16">
        <v>-368.69</v>
      </c>
      <c r="Q55" s="16">
        <v>321.47660000000008</v>
      </c>
      <c r="R55" s="16"/>
      <c r="S55" s="16">
        <v>205.79479999999995</v>
      </c>
      <c r="T55" s="16">
        <f>-107.72-527.27</f>
        <v>-634.99</v>
      </c>
      <c r="U55" s="16">
        <v>0.70580000000004217</v>
      </c>
      <c r="V55" s="16"/>
      <c r="W55" s="16">
        <v>0.63100000000016565</v>
      </c>
      <c r="X55" s="16"/>
      <c r="Y55" s="16">
        <v>0.59520000000014284</v>
      </c>
      <c r="Z55" s="16"/>
      <c r="AA55" s="4"/>
      <c r="AB55" s="42">
        <f t="shared" si="1"/>
        <v>-103.49779999999953</v>
      </c>
    </row>
    <row r="56" spans="1:28" ht="16.5" thickBot="1">
      <c r="A56" s="48" t="s">
        <v>44</v>
      </c>
      <c r="B56" s="47" t="s">
        <v>136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50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5"/>
      <c r="AB56" s="42">
        <f t="shared" si="1"/>
        <v>0</v>
      </c>
    </row>
    <row r="57" spans="1:28" s="68" customFormat="1" ht="16.5" thickBot="1">
      <c r="A57" s="48" t="s">
        <v>45</v>
      </c>
      <c r="B57" s="47" t="s">
        <v>137</v>
      </c>
      <c r="C57" s="46">
        <v>0</v>
      </c>
      <c r="D57" s="46"/>
      <c r="E57" s="46">
        <v>0</v>
      </c>
      <c r="F57" s="46"/>
      <c r="G57" s="46">
        <v>0</v>
      </c>
      <c r="H57" s="46"/>
      <c r="I57" s="46">
        <v>15.147000000001439</v>
      </c>
      <c r="J57" s="46"/>
      <c r="K57" s="46">
        <v>725.82780000000025</v>
      </c>
      <c r="L57" s="46">
        <v>-415.2</v>
      </c>
      <c r="M57" s="46">
        <v>1330.1100000000008</v>
      </c>
      <c r="N57" s="46">
        <v>-381.51</v>
      </c>
      <c r="O57" s="50">
        <v>1349.84</v>
      </c>
      <c r="P57" s="46">
        <v>-1349.84</v>
      </c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5"/>
      <c r="AB57" s="42">
        <f t="shared" si="1"/>
        <v>1274.3748000000026</v>
      </c>
    </row>
    <row r="58" spans="1:28" ht="16.5" thickBot="1">
      <c r="A58" s="64" t="s">
        <v>46</v>
      </c>
      <c r="B58" s="36" t="s">
        <v>138</v>
      </c>
      <c r="C58" s="16">
        <v>0</v>
      </c>
      <c r="D58" s="16"/>
      <c r="E58" s="16">
        <v>0</v>
      </c>
      <c r="F58" s="16"/>
      <c r="G58" s="16">
        <v>0</v>
      </c>
      <c r="H58" s="16"/>
      <c r="I58" s="16">
        <v>0</v>
      </c>
      <c r="J58" s="16"/>
      <c r="K58" s="16">
        <v>1.6863999999996644</v>
      </c>
      <c r="L58" s="16"/>
      <c r="M58" s="16">
        <v>11.014299999999567</v>
      </c>
      <c r="N58" s="16"/>
      <c r="O58" s="56">
        <v>948.66</v>
      </c>
      <c r="P58" s="16">
        <v>-959.67</v>
      </c>
      <c r="Q58" s="16">
        <v>1004.91</v>
      </c>
      <c r="R58" s="16">
        <v>-1113</v>
      </c>
      <c r="S58" s="16">
        <v>459.81240000000014</v>
      </c>
      <c r="T58" s="16">
        <v>-1600</v>
      </c>
      <c r="U58" s="16">
        <v>0</v>
      </c>
      <c r="V58" s="16"/>
      <c r="W58" s="16">
        <v>0</v>
      </c>
      <c r="X58" s="16"/>
      <c r="Y58" s="16">
        <v>0</v>
      </c>
      <c r="Z58" s="16"/>
      <c r="AA58" s="4"/>
      <c r="AB58" s="42">
        <f t="shared" si="1"/>
        <v>-1246.5869000000007</v>
      </c>
    </row>
    <row r="59" spans="1:28" ht="16.5" thickBot="1">
      <c r="A59" s="64" t="s">
        <v>47</v>
      </c>
      <c r="B59" s="37" t="s">
        <v>139</v>
      </c>
      <c r="C59" s="16">
        <v>26.907099999999534</v>
      </c>
      <c r="D59" s="16"/>
      <c r="E59" s="16">
        <v>8.1964000000013399</v>
      </c>
      <c r="F59" s="16"/>
      <c r="G59" s="16">
        <v>5.1566999999981133</v>
      </c>
      <c r="H59" s="16"/>
      <c r="I59" s="16">
        <v>17.893199999999712</v>
      </c>
      <c r="J59" s="16"/>
      <c r="K59" s="16">
        <v>388.56340000000205</v>
      </c>
      <c r="L59" s="16"/>
      <c r="M59" s="16">
        <v>1123.2367999999979</v>
      </c>
      <c r="N59" s="16"/>
      <c r="O59" s="56">
        <v>742.37</v>
      </c>
      <c r="P59" s="16"/>
      <c r="Q59" s="16">
        <v>1037.9579000000003</v>
      </c>
      <c r="R59" s="16"/>
      <c r="S59" s="16">
        <v>1134.8199999999977</v>
      </c>
      <c r="T59" s="16">
        <v>-3075.47</v>
      </c>
      <c r="U59" s="16">
        <v>444.91730000000024</v>
      </c>
      <c r="V59" s="16"/>
      <c r="W59" s="16">
        <v>90.4912000000012</v>
      </c>
      <c r="X59" s="16"/>
      <c r="Y59" s="16">
        <v>106.26319999999996</v>
      </c>
      <c r="Z59" s="16"/>
      <c r="AA59" s="4"/>
      <c r="AB59" s="42">
        <f t="shared" si="1"/>
        <v>2051.303199999998</v>
      </c>
    </row>
    <row r="60" spans="1:28" ht="16.5" thickBot="1">
      <c r="A60" s="1" t="s">
        <v>48</v>
      </c>
      <c r="B60" s="36" t="s">
        <v>140</v>
      </c>
      <c r="C60" s="16">
        <v>4.1921999999989907</v>
      </c>
      <c r="D60" s="16"/>
      <c r="E60" s="16">
        <v>4.1921999999991941</v>
      </c>
      <c r="F60" s="16"/>
      <c r="G60" s="16">
        <v>3.8929000000006644</v>
      </c>
      <c r="H60" s="16"/>
      <c r="I60" s="16">
        <v>4.8783000000009666</v>
      </c>
      <c r="J60" s="16"/>
      <c r="K60" s="16">
        <v>283.54309999999924</v>
      </c>
      <c r="L60" s="16"/>
      <c r="M60" s="16">
        <v>631.94329999999991</v>
      </c>
      <c r="N60" s="16"/>
      <c r="O60" s="56">
        <v>1035.07</v>
      </c>
      <c r="P60" s="16"/>
      <c r="Q60" s="16">
        <v>1058.2681000000011</v>
      </c>
      <c r="R60" s="16">
        <v>-3100</v>
      </c>
      <c r="S60" s="16">
        <v>710.27330000000075</v>
      </c>
      <c r="T60" s="16"/>
      <c r="U60" s="16">
        <v>17.269299999998566</v>
      </c>
      <c r="V60" s="16"/>
      <c r="W60" s="16">
        <v>4.238000000000361</v>
      </c>
      <c r="X60" s="16"/>
      <c r="Y60" s="16">
        <v>4.0525999999997158</v>
      </c>
      <c r="Z60" s="16">
        <v>-750</v>
      </c>
      <c r="AA60" s="4"/>
      <c r="AB60" s="42">
        <f t="shared" si="1"/>
        <v>-88.186700000000769</v>
      </c>
    </row>
    <row r="61" spans="1:28" ht="16.5" thickBot="1">
      <c r="A61" s="1" t="s">
        <v>49</v>
      </c>
      <c r="B61" s="36" t="s">
        <v>141</v>
      </c>
      <c r="C61" s="16">
        <v>152.37989999999996</v>
      </c>
      <c r="D61" s="16"/>
      <c r="E61" s="16">
        <v>146.00309999999993</v>
      </c>
      <c r="F61" s="16"/>
      <c r="G61" s="16">
        <v>130.77059999999997</v>
      </c>
      <c r="H61" s="16"/>
      <c r="I61" s="16">
        <v>135.45500000000004</v>
      </c>
      <c r="J61" s="16"/>
      <c r="K61" s="16">
        <v>252.35970000000003</v>
      </c>
      <c r="L61" s="16"/>
      <c r="M61" s="16">
        <v>187.28869999999992</v>
      </c>
      <c r="N61" s="16">
        <v>-600</v>
      </c>
      <c r="O61" s="56">
        <v>376.09</v>
      </c>
      <c r="P61" s="16"/>
      <c r="Q61" s="16">
        <v>462.02879999999993</v>
      </c>
      <c r="R61" s="16"/>
      <c r="S61" s="16">
        <v>299.43149999999991</v>
      </c>
      <c r="T61" s="16"/>
      <c r="U61" s="16">
        <v>366.4041000000002</v>
      </c>
      <c r="V61" s="16"/>
      <c r="W61" s="16">
        <v>213.66950000000014</v>
      </c>
      <c r="X61" s="16">
        <v>-8000</v>
      </c>
      <c r="Y61" s="16">
        <v>155.34899999999948</v>
      </c>
      <c r="Z61" s="16"/>
      <c r="AA61" s="4"/>
      <c r="AB61" s="42">
        <f t="shared" si="1"/>
        <v>-5722.7701000000006</v>
      </c>
    </row>
    <row r="62" spans="1:28" ht="16.5" thickBot="1">
      <c r="A62" s="1" t="s">
        <v>50</v>
      </c>
      <c r="B62" s="36" t="s">
        <v>188</v>
      </c>
      <c r="C62" s="16">
        <v>9.0715000000001602</v>
      </c>
      <c r="D62" s="16"/>
      <c r="E62" s="16">
        <v>9.0884000000000924</v>
      </c>
      <c r="F62" s="16">
        <v>-17.82</v>
      </c>
      <c r="G62" s="16">
        <v>8.4550000000000196</v>
      </c>
      <c r="H62" s="16"/>
      <c r="I62" s="16">
        <v>76.685599999999766</v>
      </c>
      <c r="J62" s="16">
        <f>-26.62-76.69</f>
        <v>-103.31</v>
      </c>
      <c r="K62" s="16">
        <v>588.03980000000013</v>
      </c>
      <c r="L62" s="16">
        <v>-588.04</v>
      </c>
      <c r="M62" s="16">
        <v>651.80910000000006</v>
      </c>
      <c r="N62" s="16"/>
      <c r="O62" s="56">
        <v>699.04</v>
      </c>
      <c r="P62" s="16">
        <v>-651.80999999999995</v>
      </c>
      <c r="Q62" s="16">
        <v>631.30209999999965</v>
      </c>
      <c r="R62" s="16">
        <v>-1330.34</v>
      </c>
      <c r="S62" s="16">
        <v>934.7615999999997</v>
      </c>
      <c r="T62" s="16">
        <v>-934.76</v>
      </c>
      <c r="U62" s="16">
        <v>454.474500000001</v>
      </c>
      <c r="V62" s="16"/>
      <c r="W62" s="16">
        <v>9.4614999999990115</v>
      </c>
      <c r="X62" s="16"/>
      <c r="Y62" s="16">
        <v>9.1070000000004807</v>
      </c>
      <c r="Z62" s="16"/>
      <c r="AA62" s="4"/>
      <c r="AB62" s="42">
        <f t="shared" si="1"/>
        <v>455.21610000000015</v>
      </c>
    </row>
    <row r="63" spans="1:28" ht="16.5" thickBot="1">
      <c r="A63" s="1" t="s">
        <v>51</v>
      </c>
      <c r="B63" s="36" t="s">
        <v>143</v>
      </c>
      <c r="C63" s="16">
        <v>0</v>
      </c>
      <c r="D63" s="16"/>
      <c r="E63" s="16">
        <v>0</v>
      </c>
      <c r="F63" s="16"/>
      <c r="G63" s="16">
        <v>0</v>
      </c>
      <c r="H63" s="16"/>
      <c r="I63" s="16">
        <v>0</v>
      </c>
      <c r="J63" s="16"/>
      <c r="K63" s="16">
        <v>0</v>
      </c>
      <c r="L63" s="16"/>
      <c r="M63" s="16">
        <v>0</v>
      </c>
      <c r="N63" s="16"/>
      <c r="O63" s="56" t="s">
        <v>202</v>
      </c>
      <c r="P63" s="16"/>
      <c r="Q63" s="16">
        <v>0</v>
      </c>
      <c r="R63" s="16"/>
      <c r="S63" s="16">
        <v>0</v>
      </c>
      <c r="T63" s="16"/>
      <c r="U63" s="16">
        <v>0</v>
      </c>
      <c r="V63" s="16"/>
      <c r="W63" s="16">
        <v>0</v>
      </c>
      <c r="X63" s="16"/>
      <c r="Y63" s="16">
        <v>0</v>
      </c>
      <c r="Z63" s="16"/>
      <c r="AA63" s="4"/>
      <c r="AB63" s="42">
        <f t="shared" si="1"/>
        <v>0</v>
      </c>
    </row>
    <row r="64" spans="1:28" ht="16.5" thickBot="1">
      <c r="A64" s="48" t="s">
        <v>52</v>
      </c>
      <c r="B64" s="47" t="s">
        <v>144</v>
      </c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50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5"/>
      <c r="AB64" s="42">
        <f t="shared" si="1"/>
        <v>0</v>
      </c>
    </row>
    <row r="65" spans="1:28" ht="16.5" thickBot="1">
      <c r="A65" s="1" t="s">
        <v>53</v>
      </c>
      <c r="B65" s="36" t="s">
        <v>148</v>
      </c>
      <c r="C65" s="16">
        <v>324.68469999999974</v>
      </c>
      <c r="D65" s="16"/>
      <c r="E65" s="16">
        <v>304.86950000000007</v>
      </c>
      <c r="F65" s="16"/>
      <c r="G65" s="16">
        <v>50.90819999999983</v>
      </c>
      <c r="H65" s="16"/>
      <c r="I65" s="16">
        <v>43.108600000000031</v>
      </c>
      <c r="J65" s="16"/>
      <c r="K65" s="16">
        <v>57.074100000000215</v>
      </c>
      <c r="L65" s="16"/>
      <c r="M65" s="16">
        <v>218.33609999999973</v>
      </c>
      <c r="N65" s="16">
        <v>-1800</v>
      </c>
      <c r="O65" s="56">
        <v>79.03</v>
      </c>
      <c r="P65" s="16"/>
      <c r="Q65" s="16">
        <v>46.783800000000205</v>
      </c>
      <c r="R65" s="16"/>
      <c r="S65" s="16">
        <v>115.86629999999984</v>
      </c>
      <c r="T65" s="16"/>
      <c r="U65" s="16">
        <v>109.77600000000051</v>
      </c>
      <c r="V65" s="16"/>
      <c r="W65" s="16">
        <v>478.65079999999983</v>
      </c>
      <c r="X65" s="16"/>
      <c r="Y65" s="16">
        <v>393.29980000000006</v>
      </c>
      <c r="Z65" s="16"/>
      <c r="AA65" s="4"/>
      <c r="AB65" s="42">
        <f t="shared" si="1"/>
        <v>422.38790000000006</v>
      </c>
    </row>
    <row r="66" spans="1:28" ht="16.5" thickBot="1">
      <c r="A66" s="1" t="s">
        <v>187</v>
      </c>
      <c r="B66" s="36" t="s">
        <v>145</v>
      </c>
      <c r="C66" s="16">
        <v>3.7696000000000756</v>
      </c>
      <c r="D66" s="16"/>
      <c r="E66" s="16">
        <v>3.6462999999998882</v>
      </c>
      <c r="F66" s="16"/>
      <c r="G66" s="16">
        <v>3.4523999999999626</v>
      </c>
      <c r="H66" s="16"/>
      <c r="I66" s="16">
        <v>3.7696000000000756</v>
      </c>
      <c r="J66" s="16"/>
      <c r="K66" s="16">
        <v>3.6462999999998882</v>
      </c>
      <c r="L66" s="16"/>
      <c r="M66" s="16">
        <v>42.997599999999991</v>
      </c>
      <c r="N66" s="16"/>
      <c r="O66" s="56">
        <v>126.53</v>
      </c>
      <c r="P66" s="16"/>
      <c r="Q66" s="16">
        <v>157.50819999999996</v>
      </c>
      <c r="R66" s="16"/>
      <c r="S66" s="16">
        <v>80.003800000000055</v>
      </c>
      <c r="T66" s="16"/>
      <c r="U66" s="16">
        <v>29.9298</v>
      </c>
      <c r="V66" s="16"/>
      <c r="W66" s="16">
        <v>23.257999999999836</v>
      </c>
      <c r="X66" s="16"/>
      <c r="Y66" s="16">
        <v>3.6428000000000149</v>
      </c>
      <c r="Z66" s="16"/>
      <c r="AA66" s="4"/>
      <c r="AB66" s="42">
        <f t="shared" si="1"/>
        <v>482.15439999999973</v>
      </c>
    </row>
    <row r="67" spans="1:28" ht="16.5" thickBot="1">
      <c r="A67" s="1" t="s">
        <v>54</v>
      </c>
      <c r="B67" s="36" t="s">
        <v>146</v>
      </c>
      <c r="C67" s="16">
        <v>4.3861000000004191</v>
      </c>
      <c r="D67" s="16"/>
      <c r="E67" s="16">
        <v>4.5262999999986864</v>
      </c>
      <c r="F67" s="16"/>
      <c r="G67" s="16">
        <v>3.9635000000020018</v>
      </c>
      <c r="H67" s="16"/>
      <c r="I67" s="16">
        <v>254.70589999999797</v>
      </c>
      <c r="J67" s="16"/>
      <c r="K67" s="16">
        <v>546.59820000000104</v>
      </c>
      <c r="L67" s="16"/>
      <c r="M67" s="16">
        <v>517.30900000000008</v>
      </c>
      <c r="N67" s="16"/>
      <c r="O67" s="56">
        <v>430.53</v>
      </c>
      <c r="P67" s="16"/>
      <c r="Q67" s="16">
        <v>694.61049999999932</v>
      </c>
      <c r="R67" s="16"/>
      <c r="S67" s="16">
        <v>364.26160000000095</v>
      </c>
      <c r="T67" s="16">
        <v>-8390</v>
      </c>
      <c r="U67" s="16">
        <v>4.0883999999979821</v>
      </c>
      <c r="V67" s="16"/>
      <c r="W67" s="16">
        <v>157.85370000000242</v>
      </c>
      <c r="X67" s="16"/>
      <c r="Y67" s="16">
        <v>4.3127999999985924</v>
      </c>
      <c r="Z67" s="16"/>
      <c r="AA67" s="4"/>
      <c r="AB67" s="42">
        <f t="shared" si="1"/>
        <v>-5402.8540000000012</v>
      </c>
    </row>
    <row r="68" spans="1:28" ht="16.5" thickBot="1">
      <c r="A68" s="12" t="s">
        <v>55</v>
      </c>
      <c r="B68" s="37" t="s">
        <v>147</v>
      </c>
      <c r="C68" s="17">
        <v>0.84519999999991946</v>
      </c>
      <c r="D68" s="17"/>
      <c r="E68" s="17">
        <v>0.81039999999998913</v>
      </c>
      <c r="F68" s="17"/>
      <c r="G68" s="17">
        <v>0.66920000000006674</v>
      </c>
      <c r="H68" s="17"/>
      <c r="I68" s="17">
        <v>0.7577000000000117</v>
      </c>
      <c r="J68" s="17"/>
      <c r="K68" s="17">
        <v>0.73979999999972834</v>
      </c>
      <c r="L68" s="17"/>
      <c r="M68" s="17">
        <v>14.67950000000009</v>
      </c>
      <c r="N68" s="17"/>
      <c r="O68" s="66">
        <v>73.37</v>
      </c>
      <c r="P68" s="17"/>
      <c r="Q68" s="17">
        <v>141.68990000000025</v>
      </c>
      <c r="R68" s="17">
        <v>-1403.8</v>
      </c>
      <c r="S68" s="17">
        <v>27.507299999999816</v>
      </c>
      <c r="T68" s="17"/>
      <c r="U68" s="17">
        <v>0.72530000000007988</v>
      </c>
      <c r="V68" s="17"/>
      <c r="W68" s="17">
        <v>1.0571000000000925</v>
      </c>
      <c r="X68" s="17"/>
      <c r="Y68" s="17">
        <v>0.7806000000000296</v>
      </c>
      <c r="Z68" s="17"/>
      <c r="AA68" s="13"/>
      <c r="AB68" s="42">
        <f t="shared" si="1"/>
        <v>-1140.1680000000001</v>
      </c>
    </row>
    <row r="69" spans="1:28" ht="16.5" thickBot="1">
      <c r="A69" s="12" t="s">
        <v>56</v>
      </c>
      <c r="B69" s="37" t="s">
        <v>148</v>
      </c>
      <c r="C69" s="17">
        <v>0</v>
      </c>
      <c r="D69" s="17"/>
      <c r="E69" s="17">
        <v>0</v>
      </c>
      <c r="F69" s="17"/>
      <c r="G69" s="17">
        <v>0</v>
      </c>
      <c r="H69" s="17"/>
      <c r="I69" s="17">
        <v>19.667099999999945</v>
      </c>
      <c r="J69" s="17"/>
      <c r="K69" s="17">
        <v>270.74460000000022</v>
      </c>
      <c r="L69" s="17"/>
      <c r="M69" s="17">
        <v>588.79120000000012</v>
      </c>
      <c r="N69" s="17">
        <v>-2000</v>
      </c>
      <c r="O69" s="66">
        <v>327.35000000000002</v>
      </c>
      <c r="P69" s="17"/>
      <c r="Q69" s="17">
        <v>423.34249999999997</v>
      </c>
      <c r="R69" s="17"/>
      <c r="S69" s="17">
        <v>123.8131999999999</v>
      </c>
      <c r="T69" s="17"/>
      <c r="U69" s="17">
        <v>65.770199999999832</v>
      </c>
      <c r="V69" s="17"/>
      <c r="W69" s="17">
        <v>29.032400000000184</v>
      </c>
      <c r="X69" s="17"/>
      <c r="Y69" s="17">
        <v>23.457000000000168</v>
      </c>
      <c r="Z69" s="17"/>
      <c r="AA69" s="13"/>
      <c r="AB69" s="42">
        <f t="shared" si="1"/>
        <v>-128.03179999999972</v>
      </c>
    </row>
    <row r="70" spans="1:28" s="65" customFormat="1" ht="16.5" thickBot="1">
      <c r="A70" s="12" t="s">
        <v>57</v>
      </c>
      <c r="B70" s="37" t="s">
        <v>150</v>
      </c>
      <c r="C70" s="17">
        <v>4.7380999999999975</v>
      </c>
      <c r="D70" s="17"/>
      <c r="E70" s="17">
        <v>4.7559999999998794</v>
      </c>
      <c r="F70" s="17"/>
      <c r="G70" s="17">
        <v>4.4567000000001515</v>
      </c>
      <c r="H70" s="17"/>
      <c r="I70" s="17">
        <v>4.7738999999998635</v>
      </c>
      <c r="J70" s="17"/>
      <c r="K70" s="17">
        <v>127.68720000000009</v>
      </c>
      <c r="L70" s="17"/>
      <c r="M70" s="17">
        <v>5.1428000000002285</v>
      </c>
      <c r="N70" s="17"/>
      <c r="O70" s="66">
        <v>8.8000000000000007</v>
      </c>
      <c r="P70" s="17"/>
      <c r="Q70" s="17">
        <v>4.8169000000001674</v>
      </c>
      <c r="R70" s="17"/>
      <c r="S70" s="17">
        <v>4.982799999999906</v>
      </c>
      <c r="T70" s="17"/>
      <c r="U70" s="17">
        <v>4.5177000000003282</v>
      </c>
      <c r="V70" s="17">
        <v>-1000</v>
      </c>
      <c r="W70" s="17">
        <v>101.55290000000009</v>
      </c>
      <c r="X70" s="17"/>
      <c r="Y70" s="17">
        <v>4.5924999999996317</v>
      </c>
      <c r="Z70" s="17"/>
      <c r="AA70" s="13"/>
      <c r="AB70" s="42">
        <f t="shared" si="1"/>
        <v>-719.18249999999955</v>
      </c>
    </row>
    <row r="71" spans="1:28" s="65" customFormat="1" ht="16.5" thickBot="1">
      <c r="A71" s="12" t="s">
        <v>58</v>
      </c>
      <c r="B71" s="37" t="s">
        <v>149</v>
      </c>
      <c r="C71" s="17">
        <v>3.9983000000000302</v>
      </c>
      <c r="D71" s="17"/>
      <c r="E71" s="17">
        <v>3.9634999999999376</v>
      </c>
      <c r="F71" s="17"/>
      <c r="G71" s="17">
        <v>3.7696000000000631</v>
      </c>
      <c r="H71" s="17"/>
      <c r="I71" s="17">
        <v>4.0688999999999789</v>
      </c>
      <c r="J71" s="17"/>
      <c r="K71" s="17">
        <v>8.9700000000000255</v>
      </c>
      <c r="L71" s="17"/>
      <c r="M71" s="17">
        <v>6.4234999999999598</v>
      </c>
      <c r="N71" s="17"/>
      <c r="O71" s="66">
        <v>4.13</v>
      </c>
      <c r="P71" s="17"/>
      <c r="Q71" s="17">
        <v>9.3093000000000163</v>
      </c>
      <c r="R71" s="17"/>
      <c r="S71" s="17">
        <v>38.969199999999994</v>
      </c>
      <c r="T71" s="17">
        <v>-200</v>
      </c>
      <c r="U71" s="17">
        <v>3.9778000000000659</v>
      </c>
      <c r="V71" s="17"/>
      <c r="W71" s="17">
        <v>4.072100000000022</v>
      </c>
      <c r="X71" s="17"/>
      <c r="Y71" s="17">
        <v>3.9029999999999769</v>
      </c>
      <c r="Z71" s="17"/>
      <c r="AA71" s="13"/>
      <c r="AB71" s="42">
        <f t="shared" si="1"/>
        <v>-104.44479999999993</v>
      </c>
    </row>
    <row r="72" spans="1:28" ht="16.5" thickBot="1">
      <c r="A72" s="64" t="s">
        <v>59</v>
      </c>
      <c r="B72" s="36" t="s">
        <v>151</v>
      </c>
      <c r="C72" s="16">
        <v>1.0390999999998065</v>
      </c>
      <c r="D72" s="16"/>
      <c r="E72" s="16">
        <v>1.5501999999999918</v>
      </c>
      <c r="F72" s="16"/>
      <c r="G72" s="16">
        <v>1.3921000000001356</v>
      </c>
      <c r="H72" s="16"/>
      <c r="I72" s="16">
        <v>1.2339999999999798</v>
      </c>
      <c r="J72" s="16"/>
      <c r="K72" s="16">
        <v>44.688200000000087</v>
      </c>
      <c r="L72" s="16"/>
      <c r="M72" s="16">
        <v>68.739099999999951</v>
      </c>
      <c r="N72" s="16">
        <v>-480.5</v>
      </c>
      <c r="O72" s="56">
        <v>99.16</v>
      </c>
      <c r="P72" s="16">
        <v>-115</v>
      </c>
      <c r="Q72" s="16">
        <v>80.843499999999821</v>
      </c>
      <c r="R72" s="16"/>
      <c r="S72" s="16">
        <v>59.723599999999955</v>
      </c>
      <c r="T72" s="16"/>
      <c r="U72" s="16">
        <v>45.918600000000211</v>
      </c>
      <c r="V72" s="16">
        <v>-330</v>
      </c>
      <c r="W72" s="16">
        <v>9.797399999999735</v>
      </c>
      <c r="X72" s="16"/>
      <c r="Y72" s="16">
        <v>0.33500000000006508</v>
      </c>
      <c r="Z72" s="16"/>
      <c r="AA72" s="4"/>
      <c r="AB72" s="42">
        <f t="shared" si="1"/>
        <v>-511.07920000000024</v>
      </c>
    </row>
    <row r="73" spans="1:28" ht="16.5" thickBot="1">
      <c r="A73" s="1" t="s">
        <v>60</v>
      </c>
      <c r="B73" s="36" t="s">
        <v>152</v>
      </c>
      <c r="C73" s="16">
        <v>7.6414999999999393</v>
      </c>
      <c r="D73" s="16"/>
      <c r="E73" s="16">
        <v>0</v>
      </c>
      <c r="F73" s="16"/>
      <c r="G73" s="16">
        <v>0</v>
      </c>
      <c r="H73" s="16"/>
      <c r="I73" s="16">
        <v>0</v>
      </c>
      <c r="J73" s="16"/>
      <c r="K73" s="16">
        <v>24.124700000000203</v>
      </c>
      <c r="L73" s="16"/>
      <c r="M73" s="16">
        <v>35.715799999999959</v>
      </c>
      <c r="N73" s="16"/>
      <c r="O73" s="56">
        <v>24.95</v>
      </c>
      <c r="P73" s="16"/>
      <c r="Q73" s="16">
        <v>23.192200000000014</v>
      </c>
      <c r="R73" s="16"/>
      <c r="S73" s="16">
        <v>27.801299999999873</v>
      </c>
      <c r="T73" s="16"/>
      <c r="U73" s="16">
        <v>8.4308999999999692</v>
      </c>
      <c r="V73" s="16"/>
      <c r="W73" s="16">
        <v>5.373099999999976</v>
      </c>
      <c r="X73" s="16"/>
      <c r="Y73" s="16">
        <v>5.2235000000000564</v>
      </c>
      <c r="Z73" s="16"/>
      <c r="AA73" s="4"/>
      <c r="AB73" s="42">
        <f t="shared" si="1"/>
        <v>162.453</v>
      </c>
    </row>
    <row r="74" spans="1:28" ht="16.5" thickBot="1">
      <c r="A74" s="1" t="s">
        <v>61</v>
      </c>
      <c r="B74" s="36" t="s">
        <v>153</v>
      </c>
      <c r="C74" s="16">
        <v>1.3563000000001681</v>
      </c>
      <c r="D74" s="16"/>
      <c r="E74" s="16">
        <v>1.4090000000001202</v>
      </c>
      <c r="F74" s="16"/>
      <c r="G74" s="16">
        <v>1.1981999999991138</v>
      </c>
      <c r="H74" s="16"/>
      <c r="I74" s="16">
        <v>1.2330000000002803</v>
      </c>
      <c r="J74" s="16"/>
      <c r="K74" s="16">
        <v>133.45069999999961</v>
      </c>
      <c r="L74" s="16"/>
      <c r="M74" s="16">
        <v>370.17849999999987</v>
      </c>
      <c r="N74" s="16"/>
      <c r="O74" s="56">
        <v>440.58</v>
      </c>
      <c r="P74" s="16"/>
      <c r="Q74" s="16">
        <v>477.95210000000037</v>
      </c>
      <c r="R74" s="16"/>
      <c r="S74" s="16">
        <v>358.76149999999961</v>
      </c>
      <c r="T74" s="16"/>
      <c r="U74" s="16">
        <v>2.3322000000003937</v>
      </c>
      <c r="V74" s="16"/>
      <c r="W74" s="16">
        <v>1.1708999999991569</v>
      </c>
      <c r="X74" s="16"/>
      <c r="Y74" s="16">
        <v>1.245700000000346</v>
      </c>
      <c r="Z74" s="16"/>
      <c r="AA74" s="4"/>
      <c r="AB74" s="42">
        <f t="shared" si="1"/>
        <v>1790.868099999999</v>
      </c>
    </row>
    <row r="75" spans="1:28" ht="16.5" thickBot="1">
      <c r="A75" s="1" t="s">
        <v>62</v>
      </c>
      <c r="B75" s="36" t="s">
        <v>154</v>
      </c>
      <c r="C75" s="16">
        <v>0</v>
      </c>
      <c r="D75" s="16"/>
      <c r="E75" s="16">
        <v>0</v>
      </c>
      <c r="F75" s="16"/>
      <c r="G75" s="16">
        <v>0</v>
      </c>
      <c r="H75" s="16"/>
      <c r="I75" s="16">
        <v>0</v>
      </c>
      <c r="J75" s="16"/>
      <c r="K75" s="16">
        <v>302.77669999999864</v>
      </c>
      <c r="L75" s="16">
        <v>-570</v>
      </c>
      <c r="M75" s="16">
        <v>701.69069999999931</v>
      </c>
      <c r="N75" s="16">
        <v>-702</v>
      </c>
      <c r="O75" s="56">
        <v>422.55</v>
      </c>
      <c r="P75" s="16">
        <v>-425</v>
      </c>
      <c r="Q75" s="16">
        <v>467.70259999999956</v>
      </c>
      <c r="R75" s="16">
        <v>-1000</v>
      </c>
      <c r="S75" s="16">
        <v>489.41710000000006</v>
      </c>
      <c r="T75" s="16"/>
      <c r="U75" s="16">
        <v>7.6867000000018111</v>
      </c>
      <c r="V75" s="16"/>
      <c r="W75" s="16">
        <v>0</v>
      </c>
      <c r="X75" s="16"/>
      <c r="Y75" s="16">
        <v>0</v>
      </c>
      <c r="Z75" s="16"/>
      <c r="AA75" s="4"/>
      <c r="AB75" s="42">
        <f t="shared" ref="AB75:AB100" si="2">SUM(C75:AA75)</f>
        <v>-305.17620000000062</v>
      </c>
    </row>
    <row r="76" spans="1:28" ht="16.5" thickBot="1">
      <c r="A76" s="48" t="s">
        <v>63</v>
      </c>
      <c r="B76" s="47" t="s">
        <v>173</v>
      </c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50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5"/>
      <c r="AB76" s="42">
        <f t="shared" si="2"/>
        <v>0</v>
      </c>
    </row>
    <row r="77" spans="1:28" ht="16.5" thickBot="1">
      <c r="A77" s="48" t="s">
        <v>186</v>
      </c>
      <c r="B77" s="47" t="s">
        <v>173</v>
      </c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50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5"/>
      <c r="AB77" s="42">
        <f t="shared" si="2"/>
        <v>0</v>
      </c>
    </row>
    <row r="78" spans="1:28" ht="16.5" thickBot="1">
      <c r="A78" s="63" t="s">
        <v>64</v>
      </c>
      <c r="B78" s="62" t="s">
        <v>174</v>
      </c>
      <c r="C78" s="59">
        <v>1917.7943999999977</v>
      </c>
      <c r="D78" s="59">
        <v>-1123.29</v>
      </c>
      <c r="E78" s="59">
        <v>907.26489999999774</v>
      </c>
      <c r="F78" s="59">
        <v>-4377.95</v>
      </c>
      <c r="G78" s="59">
        <v>833.49750000000472</v>
      </c>
      <c r="H78" s="59"/>
      <c r="I78" s="59">
        <v>764.25069999999664</v>
      </c>
      <c r="J78" s="59"/>
      <c r="K78" s="59">
        <v>861.59419999999955</v>
      </c>
      <c r="L78" s="59">
        <v>-2806.51</v>
      </c>
      <c r="M78" s="59">
        <v>925.23160000000189</v>
      </c>
      <c r="N78" s="59"/>
      <c r="O78" s="60">
        <v>1388.2</v>
      </c>
      <c r="P78" s="59"/>
      <c r="Q78" s="59">
        <v>1452.3377999999905</v>
      </c>
      <c r="R78" s="59"/>
      <c r="S78" s="59">
        <v>1106.8204000000003</v>
      </c>
      <c r="T78" s="59"/>
      <c r="U78" s="59">
        <v>986.62560000000281</v>
      </c>
      <c r="V78" s="59"/>
      <c r="W78" s="59">
        <v>863.84279999999637</v>
      </c>
      <c r="X78" s="59"/>
      <c r="Y78" s="59">
        <v>789.57520000000363</v>
      </c>
      <c r="Z78" s="59"/>
      <c r="AA78" s="58"/>
      <c r="AB78" s="42">
        <f t="shared" si="2"/>
        <v>4489.2850999999919</v>
      </c>
    </row>
    <row r="79" spans="1:28" ht="16.5" thickBot="1">
      <c r="A79" s="63" t="s">
        <v>185</v>
      </c>
      <c r="B79" s="62" t="s">
        <v>174</v>
      </c>
      <c r="C79" s="59">
        <v>1549.4067999999997</v>
      </c>
      <c r="D79" s="59"/>
      <c r="E79" s="59">
        <v>3.4841999999996345</v>
      </c>
      <c r="F79" s="59"/>
      <c r="G79" s="59">
        <v>167.19449999999995</v>
      </c>
      <c r="H79" s="59"/>
      <c r="I79" s="59">
        <v>2.9244000000001433</v>
      </c>
      <c r="J79" s="59"/>
      <c r="K79" s="59">
        <v>177.04490000000021</v>
      </c>
      <c r="L79" s="59"/>
      <c r="M79" s="59">
        <v>72.504099999999895</v>
      </c>
      <c r="N79" s="59"/>
      <c r="O79" s="60">
        <v>19.55</v>
      </c>
      <c r="P79" s="59"/>
      <c r="Q79" s="59">
        <v>293.79010000000079</v>
      </c>
      <c r="R79" s="59">
        <v>-4151.62</v>
      </c>
      <c r="S79" s="59">
        <v>202.28329999999895</v>
      </c>
      <c r="T79" s="59"/>
      <c r="U79" s="59">
        <v>309.40489999999971</v>
      </c>
      <c r="V79" s="59"/>
      <c r="W79" s="59">
        <v>262.92020000000133</v>
      </c>
      <c r="X79" s="59"/>
      <c r="Y79" s="59">
        <v>5.7640000000000091</v>
      </c>
      <c r="Z79" s="59"/>
      <c r="AA79" s="58"/>
      <c r="AB79" s="42">
        <f t="shared" si="2"/>
        <v>-1085.3486</v>
      </c>
    </row>
    <row r="80" spans="1:28" ht="16.5" thickBot="1">
      <c r="A80" s="1" t="s">
        <v>65</v>
      </c>
      <c r="B80" s="36" t="s">
        <v>175</v>
      </c>
      <c r="C80" s="16">
        <v>0.86310000000006559</v>
      </c>
      <c r="D80" s="16"/>
      <c r="E80" s="16">
        <v>0.86309999999991582</v>
      </c>
      <c r="F80" s="16"/>
      <c r="G80" s="16">
        <v>0.86310000000011655</v>
      </c>
      <c r="H80" s="16"/>
      <c r="I80" s="16">
        <v>0.88099999999989964</v>
      </c>
      <c r="J80" s="16"/>
      <c r="K80" s="16">
        <v>0.86310000000006559</v>
      </c>
      <c r="L80" s="16"/>
      <c r="M80" s="16">
        <v>39.483499999999928</v>
      </c>
      <c r="N80" s="16"/>
      <c r="O80" s="56">
        <v>5.98</v>
      </c>
      <c r="P80" s="16"/>
      <c r="Q80" s="16">
        <v>0.80009999999985459</v>
      </c>
      <c r="R80" s="16"/>
      <c r="S80" s="16">
        <v>0.85540000000011873</v>
      </c>
      <c r="T80" s="16"/>
      <c r="U80" s="16">
        <v>0.83589999999997933</v>
      </c>
      <c r="V80" s="16">
        <v>-600</v>
      </c>
      <c r="W80" s="16">
        <v>0.8001000000000118</v>
      </c>
      <c r="X80" s="16"/>
      <c r="Y80" s="16">
        <v>0.80009999999991011</v>
      </c>
      <c r="Z80" s="16"/>
      <c r="AA80" s="4"/>
      <c r="AB80" s="42">
        <f t="shared" si="2"/>
        <v>-546.11150000000009</v>
      </c>
    </row>
    <row r="81" spans="1:28" ht="16.5" thickBot="1">
      <c r="A81" s="48" t="s">
        <v>66</v>
      </c>
      <c r="B81" s="47" t="s">
        <v>176</v>
      </c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50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5"/>
      <c r="AB81" s="42">
        <f t="shared" si="2"/>
        <v>0</v>
      </c>
    </row>
    <row r="82" spans="1:28" ht="16.5" thickBot="1">
      <c r="A82" s="1" t="s">
        <v>67</v>
      </c>
      <c r="B82" s="36" t="s">
        <v>177</v>
      </c>
      <c r="C82" s="16">
        <v>3.4703000000008455</v>
      </c>
      <c r="D82" s="16"/>
      <c r="E82" s="16">
        <v>3.4523999999996633</v>
      </c>
      <c r="F82" s="16"/>
      <c r="G82" s="16">
        <v>3.2057999999998876</v>
      </c>
      <c r="H82" s="16"/>
      <c r="I82" s="16">
        <v>3.4175999999996947</v>
      </c>
      <c r="J82" s="16"/>
      <c r="K82" s="16">
        <v>6.491100000000495</v>
      </c>
      <c r="L82" s="16"/>
      <c r="M82" s="16">
        <v>366.6065000000001</v>
      </c>
      <c r="N82" s="16">
        <v>-397.83</v>
      </c>
      <c r="O82" s="56">
        <v>412.74</v>
      </c>
      <c r="P82" s="16"/>
      <c r="Q82" s="16">
        <v>573.29990000000112</v>
      </c>
      <c r="R82" s="16">
        <v>-415</v>
      </c>
      <c r="S82" s="16">
        <v>382.56919999999963</v>
      </c>
      <c r="T82" s="16">
        <v>-1000</v>
      </c>
      <c r="U82" s="16">
        <v>3.4573999999985565</v>
      </c>
      <c r="V82" s="16"/>
      <c r="W82" s="16">
        <v>3.476900000001053</v>
      </c>
      <c r="X82" s="16"/>
      <c r="Y82" s="16">
        <v>3.4573999999985565</v>
      </c>
      <c r="Z82" s="16"/>
      <c r="AA82" s="4"/>
      <c r="AB82" s="42">
        <f t="shared" si="2"/>
        <v>-47.185500000000417</v>
      </c>
    </row>
    <row r="83" spans="1:28" ht="16.5" thickBot="1">
      <c r="A83" s="1" t="s">
        <v>68</v>
      </c>
      <c r="B83" s="36" t="s">
        <v>178</v>
      </c>
      <c r="C83" s="16">
        <v>0</v>
      </c>
      <c r="D83" s="16"/>
      <c r="E83" s="16">
        <v>0</v>
      </c>
      <c r="F83" s="16"/>
      <c r="G83" s="16">
        <v>0</v>
      </c>
      <c r="H83" s="16"/>
      <c r="I83" s="16">
        <v>0</v>
      </c>
      <c r="J83" s="16"/>
      <c r="K83" s="16">
        <v>112.4289000000004</v>
      </c>
      <c r="L83" s="16"/>
      <c r="M83" s="16">
        <v>1597.1984</v>
      </c>
      <c r="N83" s="16"/>
      <c r="O83" s="56">
        <v>902.2</v>
      </c>
      <c r="P83" s="16">
        <v>-2917.02</v>
      </c>
      <c r="Q83" s="16">
        <v>1310.2758999999992</v>
      </c>
      <c r="R83" s="16">
        <v>-902.2</v>
      </c>
      <c r="S83" s="16">
        <v>572.36510000000089</v>
      </c>
      <c r="T83" s="16">
        <v>-1310.28</v>
      </c>
      <c r="U83" s="16">
        <v>183.40210000000087</v>
      </c>
      <c r="V83" s="16"/>
      <c r="W83" s="16">
        <v>124.5908999999986</v>
      </c>
      <c r="X83" s="16"/>
      <c r="Y83" s="16">
        <v>0</v>
      </c>
      <c r="Z83" s="16"/>
      <c r="AA83" s="4"/>
      <c r="AB83" s="42">
        <f t="shared" si="2"/>
        <v>-327.03870000000006</v>
      </c>
    </row>
    <row r="84" spans="1:28" ht="16.5" thickBot="1">
      <c r="A84" s="1" t="s">
        <v>184</v>
      </c>
      <c r="B84" s="36" t="s">
        <v>183</v>
      </c>
      <c r="C84" s="16">
        <v>0.21079999999999549</v>
      </c>
      <c r="D84" s="16"/>
      <c r="E84" s="16">
        <v>0.31620000000001197</v>
      </c>
      <c r="F84" s="16"/>
      <c r="G84" s="16">
        <v>0.42159999999999098</v>
      </c>
      <c r="H84" s="16"/>
      <c r="I84" s="16">
        <v>0.26349999999998502</v>
      </c>
      <c r="J84" s="16"/>
      <c r="K84" s="16">
        <v>2.9512000000000116</v>
      </c>
      <c r="L84" s="16"/>
      <c r="M84" s="16">
        <v>4.3392999999999979</v>
      </c>
      <c r="N84" s="16"/>
      <c r="O84" s="56">
        <v>7.43</v>
      </c>
      <c r="P84" s="16"/>
      <c r="Q84" s="16">
        <v>52.563700000000011</v>
      </c>
      <c r="R84" s="16"/>
      <c r="S84" s="16">
        <v>20.906800000000022</v>
      </c>
      <c r="T84" s="16"/>
      <c r="U84" s="16">
        <v>538.25009999999997</v>
      </c>
      <c r="V84" s="16"/>
      <c r="W84" s="16">
        <v>0.49770000000001891</v>
      </c>
      <c r="X84" s="16"/>
      <c r="Y84" s="16">
        <v>5.5299999999949709E-2</v>
      </c>
      <c r="Z84" s="16"/>
      <c r="AA84" s="4"/>
      <c r="AB84" s="42">
        <f t="shared" si="2"/>
        <v>628.20619999999997</v>
      </c>
    </row>
    <row r="85" spans="1:28" ht="16.5" thickBot="1">
      <c r="A85" s="48" t="s">
        <v>69</v>
      </c>
      <c r="B85" s="47" t="s">
        <v>155</v>
      </c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50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5"/>
      <c r="AB85" s="42">
        <f t="shared" si="2"/>
        <v>0</v>
      </c>
    </row>
    <row r="86" spans="1:28" ht="16.5" thickBot="1">
      <c r="A86" s="1" t="s">
        <v>70</v>
      </c>
      <c r="B86" s="36" t="s">
        <v>156</v>
      </c>
      <c r="C86" s="16">
        <v>0</v>
      </c>
      <c r="D86" s="16"/>
      <c r="E86" s="16">
        <v>0</v>
      </c>
      <c r="F86" s="16"/>
      <c r="G86" s="16">
        <v>0</v>
      </c>
      <c r="H86" s="16"/>
      <c r="I86" s="16">
        <v>53.428799999999086</v>
      </c>
      <c r="J86" s="16"/>
      <c r="K86" s="16">
        <v>471.79690000000005</v>
      </c>
      <c r="L86" s="16"/>
      <c r="M86" s="16">
        <v>391.63730000000015</v>
      </c>
      <c r="N86" s="16"/>
      <c r="O86" s="56">
        <v>488.32</v>
      </c>
      <c r="P86" s="16"/>
      <c r="Q86" s="16">
        <v>297.8842999999996</v>
      </c>
      <c r="R86" s="16"/>
      <c r="S86" s="16">
        <v>0</v>
      </c>
      <c r="T86" s="16"/>
      <c r="U86" s="16">
        <v>51.041900000000105</v>
      </c>
      <c r="V86" s="16"/>
      <c r="W86" s="16">
        <v>36.553300000000704</v>
      </c>
      <c r="X86" s="16"/>
      <c r="Y86" s="16">
        <v>0</v>
      </c>
      <c r="Z86" s="16"/>
      <c r="AA86" s="4"/>
      <c r="AB86" s="42">
        <f t="shared" si="2"/>
        <v>1790.6624999999997</v>
      </c>
    </row>
    <row r="87" spans="1:28" ht="16.5" thickBot="1">
      <c r="A87" s="1" t="s">
        <v>71</v>
      </c>
      <c r="B87" s="36" t="s">
        <v>157</v>
      </c>
      <c r="C87" s="16">
        <v>0</v>
      </c>
      <c r="D87" s="16"/>
      <c r="E87" s="16">
        <v>0</v>
      </c>
      <c r="F87" s="16"/>
      <c r="G87" s="16">
        <v>0</v>
      </c>
      <c r="H87" s="16"/>
      <c r="I87" s="16">
        <v>0</v>
      </c>
      <c r="J87" s="16"/>
      <c r="K87" s="16">
        <v>1452.6067999999984</v>
      </c>
      <c r="L87" s="16"/>
      <c r="M87" s="16">
        <v>887.78150000000028</v>
      </c>
      <c r="N87" s="16">
        <f>-282.36-1452.61-887.78</f>
        <v>-2622.75</v>
      </c>
      <c r="O87" s="56">
        <v>1266.22</v>
      </c>
      <c r="P87" s="16"/>
      <c r="Q87" s="16">
        <v>1551.3741999999988</v>
      </c>
      <c r="R87" s="16">
        <f>-1266.22-1551.37</f>
        <v>-2817.59</v>
      </c>
      <c r="S87" s="16">
        <v>869.85190000000125</v>
      </c>
      <c r="T87" s="16">
        <v>-869.85</v>
      </c>
      <c r="U87" s="16">
        <v>51.041900000000105</v>
      </c>
      <c r="V87" s="16"/>
      <c r="W87" s="16">
        <v>31.520999999998995</v>
      </c>
      <c r="X87" s="16"/>
      <c r="Y87" s="16">
        <v>0</v>
      </c>
      <c r="Z87" s="16"/>
      <c r="AA87" s="4"/>
      <c r="AB87" s="42">
        <f t="shared" si="2"/>
        <v>-199.79270000000247</v>
      </c>
    </row>
    <row r="88" spans="1:28" ht="16.5" thickBot="1">
      <c r="A88" s="1" t="s">
        <v>72</v>
      </c>
      <c r="B88" s="36" t="s">
        <v>158</v>
      </c>
      <c r="C88" s="16">
        <v>0</v>
      </c>
      <c r="D88" s="16"/>
      <c r="E88" s="16">
        <v>0</v>
      </c>
      <c r="F88" s="16"/>
      <c r="G88" s="16">
        <v>0</v>
      </c>
      <c r="H88" s="16"/>
      <c r="I88" s="16">
        <v>0</v>
      </c>
      <c r="J88" s="16"/>
      <c r="K88" s="16">
        <v>133.79600000000096</v>
      </c>
      <c r="L88" s="16"/>
      <c r="M88" s="16">
        <v>149.11879999999789</v>
      </c>
      <c r="N88" s="16">
        <v>-490</v>
      </c>
      <c r="O88" s="56">
        <v>104.94</v>
      </c>
      <c r="P88" s="16"/>
      <c r="Q88" s="16">
        <v>518.43940000000077</v>
      </c>
      <c r="R88" s="16"/>
      <c r="S88" s="16">
        <v>1222.5159999999992</v>
      </c>
      <c r="T88" s="16"/>
      <c r="U88" s="16">
        <v>1026.7235999999998</v>
      </c>
      <c r="V88" s="16">
        <v>-3000</v>
      </c>
      <c r="W88" s="16">
        <v>0</v>
      </c>
      <c r="X88" s="16"/>
      <c r="Y88" s="16">
        <v>0</v>
      </c>
      <c r="Z88" s="16"/>
      <c r="AA88" s="4"/>
      <c r="AB88" s="42">
        <f t="shared" si="2"/>
        <v>-334.46620000000166</v>
      </c>
    </row>
    <row r="89" spans="1:28" ht="16.5" thickBot="1">
      <c r="A89" s="1" t="s">
        <v>73</v>
      </c>
      <c r="B89" s="36" t="s">
        <v>159</v>
      </c>
      <c r="C89" s="16">
        <v>3.628399999999707</v>
      </c>
      <c r="D89" s="16"/>
      <c r="E89" s="16">
        <v>3.6463000000000862</v>
      </c>
      <c r="F89" s="16"/>
      <c r="G89" s="16">
        <v>3.4345000000002788</v>
      </c>
      <c r="H89" s="16"/>
      <c r="I89" s="16">
        <v>3.6114999999997224</v>
      </c>
      <c r="J89" s="16"/>
      <c r="K89" s="16">
        <v>3.681100000000054</v>
      </c>
      <c r="L89" s="16"/>
      <c r="M89" s="16">
        <v>3.4881999999996309</v>
      </c>
      <c r="N89" s="16">
        <v>-1882.18</v>
      </c>
      <c r="O89" s="56">
        <v>3.55</v>
      </c>
      <c r="P89" s="16"/>
      <c r="Q89" s="16">
        <v>3.9225000000000194</v>
      </c>
      <c r="R89" s="16"/>
      <c r="S89" s="16">
        <v>12.531199999999844</v>
      </c>
      <c r="T89" s="16"/>
      <c r="U89" s="16">
        <v>17.630999999999865</v>
      </c>
      <c r="V89" s="16"/>
      <c r="W89" s="16">
        <v>3.7176000000002056</v>
      </c>
      <c r="X89" s="16"/>
      <c r="Y89" s="16">
        <v>3.6980999999995952</v>
      </c>
      <c r="Z89" s="16"/>
      <c r="AA89" s="4"/>
      <c r="AB89" s="42">
        <f t="shared" si="2"/>
        <v>-1815.6396000000009</v>
      </c>
    </row>
    <row r="90" spans="1:28" ht="16.5" thickBot="1">
      <c r="A90" s="1" t="s">
        <v>74</v>
      </c>
      <c r="B90" s="36" t="s">
        <v>160</v>
      </c>
      <c r="C90" s="16">
        <v>0</v>
      </c>
      <c r="D90" s="16"/>
      <c r="E90" s="16">
        <v>0</v>
      </c>
      <c r="F90" s="16"/>
      <c r="G90" s="16">
        <v>0</v>
      </c>
      <c r="H90" s="16"/>
      <c r="I90" s="16">
        <v>0</v>
      </c>
      <c r="J90" s="16"/>
      <c r="K90" s="16">
        <v>0</v>
      </c>
      <c r="L90" s="16"/>
      <c r="M90" s="16">
        <v>0</v>
      </c>
      <c r="N90" s="16"/>
      <c r="O90" s="56" t="s">
        <v>202</v>
      </c>
      <c r="P90" s="16"/>
      <c r="Q90" s="16">
        <v>0</v>
      </c>
      <c r="R90" s="16"/>
      <c r="S90" s="16">
        <v>0</v>
      </c>
      <c r="T90" s="16"/>
      <c r="U90" s="16">
        <v>0</v>
      </c>
      <c r="V90" s="16"/>
      <c r="W90" s="16">
        <v>0</v>
      </c>
      <c r="X90" s="16"/>
      <c r="Y90" s="16">
        <v>0</v>
      </c>
      <c r="Z90" s="16"/>
      <c r="AA90" s="4"/>
      <c r="AB90" s="42">
        <f t="shared" si="2"/>
        <v>0</v>
      </c>
    </row>
    <row r="91" spans="1:28" ht="16.5" thickBot="1">
      <c r="A91" s="1" t="s">
        <v>182</v>
      </c>
      <c r="B91" s="36" t="s">
        <v>161</v>
      </c>
      <c r="C91" s="16">
        <v>0</v>
      </c>
      <c r="D91" s="16"/>
      <c r="E91" s="16">
        <v>0</v>
      </c>
      <c r="F91" s="16"/>
      <c r="G91" s="16">
        <v>0</v>
      </c>
      <c r="H91" s="16"/>
      <c r="I91" s="16">
        <v>0</v>
      </c>
      <c r="J91" s="16"/>
      <c r="K91" s="16">
        <v>350.34080000000154</v>
      </c>
      <c r="L91" s="16"/>
      <c r="M91" s="16">
        <v>414.48619999999761</v>
      </c>
      <c r="N91" s="16"/>
      <c r="O91" s="56">
        <v>214.74</v>
      </c>
      <c r="P91" s="16">
        <v>-6500</v>
      </c>
      <c r="Q91" s="16">
        <v>197.83089999999825</v>
      </c>
      <c r="R91" s="16"/>
      <c r="S91" s="16">
        <v>611.02950000000033</v>
      </c>
      <c r="T91" s="16"/>
      <c r="U91" s="16">
        <v>988.86380000000008</v>
      </c>
      <c r="V91" s="16"/>
      <c r="W91" s="16">
        <v>0</v>
      </c>
      <c r="X91" s="16"/>
      <c r="Y91" s="16">
        <v>0</v>
      </c>
      <c r="Z91" s="16"/>
      <c r="AA91" s="4"/>
      <c r="AB91" s="42">
        <f t="shared" si="2"/>
        <v>-3722.7088000000022</v>
      </c>
    </row>
    <row r="92" spans="1:28" ht="16.5" thickBot="1">
      <c r="A92" s="1" t="s">
        <v>75</v>
      </c>
      <c r="B92" s="36" t="s">
        <v>162</v>
      </c>
      <c r="C92" s="16">
        <v>0</v>
      </c>
      <c r="D92" s="16"/>
      <c r="E92" s="16">
        <v>0</v>
      </c>
      <c r="F92" s="16"/>
      <c r="G92" s="16">
        <v>0</v>
      </c>
      <c r="H92" s="16"/>
      <c r="I92" s="16">
        <v>170.29769999999985</v>
      </c>
      <c r="J92" s="16"/>
      <c r="K92" s="16">
        <v>679.31080000000065</v>
      </c>
      <c r="L92" s="16"/>
      <c r="M92" s="16">
        <v>784.80359999999928</v>
      </c>
      <c r="N92" s="16"/>
      <c r="O92" s="56">
        <v>513.23</v>
      </c>
      <c r="P92" s="16"/>
      <c r="Q92" s="16">
        <v>313.63800000000043</v>
      </c>
      <c r="R92" s="16"/>
      <c r="S92" s="16">
        <v>109.88059999999896</v>
      </c>
      <c r="T92" s="16"/>
      <c r="U92" s="16">
        <v>161.98550000000165</v>
      </c>
      <c r="V92" s="16"/>
      <c r="W92" s="16">
        <v>0</v>
      </c>
      <c r="X92" s="16"/>
      <c r="Y92" s="16">
        <v>0</v>
      </c>
      <c r="Z92" s="16"/>
      <c r="AA92" s="4"/>
      <c r="AB92" s="42">
        <f t="shared" si="2"/>
        <v>2733.146200000001</v>
      </c>
    </row>
    <row r="93" spans="1:28" ht="16.5" thickBot="1">
      <c r="A93" s="1" t="s">
        <v>76</v>
      </c>
      <c r="B93" s="36" t="s">
        <v>179</v>
      </c>
      <c r="C93" s="16">
        <v>1899.7316999999921</v>
      </c>
      <c r="D93" s="16">
        <f>-332.98-1899.73</f>
        <v>-2232.71</v>
      </c>
      <c r="E93" s="16">
        <v>6194.6018000000004</v>
      </c>
      <c r="F93" s="16">
        <v>-6194.6</v>
      </c>
      <c r="G93" s="16">
        <v>7470.7056000000075</v>
      </c>
      <c r="H93" s="16"/>
      <c r="I93" s="16">
        <v>4967.3325999999943</v>
      </c>
      <c r="J93" s="16">
        <v>-7470.71</v>
      </c>
      <c r="K93" s="16">
        <v>3009.5981999999981</v>
      </c>
      <c r="L93" s="16">
        <v>-4967.33</v>
      </c>
      <c r="M93" s="16">
        <v>2532.7179000000092</v>
      </c>
      <c r="N93" s="16">
        <f>-3009.6-2532.72</f>
        <v>-5542.32</v>
      </c>
      <c r="O93" s="56">
        <v>1687.57</v>
      </c>
      <c r="P93" s="16">
        <v>-3300</v>
      </c>
      <c r="Q93" s="16">
        <v>1967.1073999999933</v>
      </c>
      <c r="R93" s="16">
        <v>-3655</v>
      </c>
      <c r="S93" s="16">
        <v>3815.0509000000038</v>
      </c>
      <c r="T93" s="16">
        <v>-3159.72</v>
      </c>
      <c r="U93" s="16">
        <v>5136.052400000005</v>
      </c>
      <c r="V93" s="16"/>
      <c r="W93" s="16">
        <v>8702.6140999999971</v>
      </c>
      <c r="X93" s="16">
        <v>-8702.61</v>
      </c>
      <c r="Y93" s="16">
        <v>9148.1329000000078</v>
      </c>
      <c r="Z93" s="16">
        <v>-9148.1299999999992</v>
      </c>
      <c r="AA93" s="4"/>
      <c r="AB93" s="42">
        <f t="shared" si="2"/>
        <v>2158.0855000000083</v>
      </c>
    </row>
    <row r="94" spans="1:28" ht="16.5" thickBot="1">
      <c r="A94" s="1" t="s">
        <v>77</v>
      </c>
      <c r="B94" s="36" t="s">
        <v>163</v>
      </c>
      <c r="C94" s="16">
        <v>0</v>
      </c>
      <c r="D94" s="16"/>
      <c r="E94" s="16">
        <v>0</v>
      </c>
      <c r="F94" s="16"/>
      <c r="G94" s="16">
        <v>0</v>
      </c>
      <c r="H94" s="16"/>
      <c r="I94" s="16">
        <v>0</v>
      </c>
      <c r="J94" s="16"/>
      <c r="K94" s="16">
        <v>7.114500000000044</v>
      </c>
      <c r="L94" s="16"/>
      <c r="M94" s="16">
        <v>8.5900999999999748</v>
      </c>
      <c r="N94" s="16"/>
      <c r="O94" s="56">
        <v>3.21</v>
      </c>
      <c r="P94" s="16"/>
      <c r="Q94" s="16">
        <v>2.2120000000000317</v>
      </c>
      <c r="R94" s="16"/>
      <c r="S94" s="16">
        <v>0</v>
      </c>
      <c r="T94" s="16"/>
      <c r="U94" s="16">
        <v>0</v>
      </c>
      <c r="V94" s="16"/>
      <c r="W94" s="16">
        <v>0</v>
      </c>
      <c r="X94" s="16"/>
      <c r="Y94" s="16">
        <v>0</v>
      </c>
      <c r="Z94" s="16"/>
      <c r="AA94" s="4"/>
      <c r="AB94" s="42">
        <f t="shared" si="2"/>
        <v>21.12660000000005</v>
      </c>
    </row>
    <row r="95" spans="1:28" ht="16.5" thickBot="1">
      <c r="A95" s="1" t="s">
        <v>78</v>
      </c>
      <c r="B95" s="36" t="s">
        <v>164</v>
      </c>
      <c r="C95" s="16">
        <v>0</v>
      </c>
      <c r="D95" s="16">
        <v>-900</v>
      </c>
      <c r="E95" s="16">
        <v>0</v>
      </c>
      <c r="F95" s="16"/>
      <c r="G95" s="16">
        <v>0</v>
      </c>
      <c r="H95" s="16"/>
      <c r="I95" s="16">
        <v>0</v>
      </c>
      <c r="J95" s="16"/>
      <c r="K95" s="16">
        <v>147.77470000000034</v>
      </c>
      <c r="L95" s="16"/>
      <c r="M95" s="16">
        <v>150.76729999999975</v>
      </c>
      <c r="N95" s="16"/>
      <c r="O95" s="56">
        <v>188.36</v>
      </c>
      <c r="P95" s="16"/>
      <c r="Q95" s="16">
        <v>202.6881999999998</v>
      </c>
      <c r="R95" s="16"/>
      <c r="S95" s="16">
        <v>141.48310000000009</v>
      </c>
      <c r="T95" s="16"/>
      <c r="U95" s="16">
        <v>112.5616999999999</v>
      </c>
      <c r="V95" s="16"/>
      <c r="W95" s="16">
        <v>4.3393000000000477</v>
      </c>
      <c r="X95" s="16"/>
      <c r="Y95" s="16">
        <v>0</v>
      </c>
      <c r="Z95" s="16"/>
      <c r="AA95" s="4"/>
      <c r="AB95" s="42">
        <f t="shared" si="2"/>
        <v>47.974299999999999</v>
      </c>
    </row>
    <row r="96" spans="1:28" ht="16.5" thickBot="1">
      <c r="A96" s="1" t="s">
        <v>79</v>
      </c>
      <c r="B96" s="36" t="s">
        <v>99</v>
      </c>
      <c r="C96" s="16">
        <v>127.17600000000002</v>
      </c>
      <c r="D96" s="16"/>
      <c r="E96" s="16">
        <v>125.67749999999994</v>
      </c>
      <c r="F96" s="16"/>
      <c r="G96" s="16">
        <v>118.35109999999996</v>
      </c>
      <c r="H96" s="16"/>
      <c r="I96" s="16">
        <v>126.72159999999994</v>
      </c>
      <c r="J96" s="16"/>
      <c r="K96" s="16">
        <v>195.61660000000006</v>
      </c>
      <c r="L96" s="16"/>
      <c r="M96" s="16">
        <v>199.77020000000013</v>
      </c>
      <c r="N96" s="16">
        <v>-1220</v>
      </c>
      <c r="O96" s="56">
        <v>279.39999999999998</v>
      </c>
      <c r="P96" s="16"/>
      <c r="Q96" s="16">
        <v>210.99479999999983</v>
      </c>
      <c r="R96" s="16"/>
      <c r="S96" s="16">
        <v>425.53480000000036</v>
      </c>
      <c r="T96" s="16"/>
      <c r="U96" s="16">
        <v>179.92319999999955</v>
      </c>
      <c r="V96" s="16"/>
      <c r="W96" s="16">
        <v>17.091700000000152</v>
      </c>
      <c r="X96" s="16"/>
      <c r="Y96" s="16">
        <v>5.483700000000189</v>
      </c>
      <c r="Z96" s="16"/>
      <c r="AA96" s="4"/>
      <c r="AB96" s="42">
        <f t="shared" si="2"/>
        <v>791.74120000000016</v>
      </c>
    </row>
    <row r="97" spans="1:28" ht="16.5" thickBot="1">
      <c r="A97" s="1" t="s">
        <v>80</v>
      </c>
      <c r="B97" s="36" t="s">
        <v>165</v>
      </c>
      <c r="C97" s="16">
        <v>2.1806000000004131</v>
      </c>
      <c r="D97" s="16"/>
      <c r="E97" s="16">
        <v>0</v>
      </c>
      <c r="F97" s="16"/>
      <c r="G97" s="16">
        <v>0</v>
      </c>
      <c r="H97" s="16"/>
      <c r="I97" s="16">
        <v>0</v>
      </c>
      <c r="J97" s="16"/>
      <c r="K97" s="16">
        <v>338.93609999999967</v>
      </c>
      <c r="L97" s="16"/>
      <c r="M97" s="16">
        <v>278.7242999999994</v>
      </c>
      <c r="N97" s="16">
        <f>-342.78-278.72</f>
        <v>-621.5</v>
      </c>
      <c r="O97" s="56">
        <v>462.86</v>
      </c>
      <c r="P97" s="16">
        <v>-462.86</v>
      </c>
      <c r="Q97" s="16">
        <v>124.47219999999936</v>
      </c>
      <c r="R97" s="16">
        <v>-124.47</v>
      </c>
      <c r="S97" s="16">
        <v>657.18300000000067</v>
      </c>
      <c r="T97" s="16"/>
      <c r="U97" s="16">
        <v>242.56879999999984</v>
      </c>
      <c r="V97" s="16">
        <v>-899.75</v>
      </c>
      <c r="W97" s="16">
        <v>119.00639999999952</v>
      </c>
      <c r="X97" s="16"/>
      <c r="Y97" s="16">
        <v>0</v>
      </c>
      <c r="Z97" s="16">
        <v>-119.01</v>
      </c>
      <c r="AA97" s="4"/>
      <c r="AB97" s="42">
        <f t="shared" si="2"/>
        <v>-1.6586000000011438</v>
      </c>
    </row>
    <row r="98" spans="1:28" ht="16.5" thickBot="1">
      <c r="A98" s="48" t="s">
        <v>81</v>
      </c>
      <c r="B98" s="47" t="s">
        <v>166</v>
      </c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50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5"/>
      <c r="AB98" s="42">
        <f t="shared" si="2"/>
        <v>0</v>
      </c>
    </row>
    <row r="99" spans="1:28" ht="16.5" thickBot="1">
      <c r="A99" s="1" t="s">
        <v>82</v>
      </c>
      <c r="B99" s="36" t="s">
        <v>167</v>
      </c>
      <c r="C99" s="16">
        <v>3.6989999999990317</v>
      </c>
      <c r="D99" s="16">
        <v>-241.5</v>
      </c>
      <c r="E99" s="16">
        <v>3.6810999999994554</v>
      </c>
      <c r="F99" s="16"/>
      <c r="G99" s="16">
        <v>3.4524000000000705</v>
      </c>
      <c r="H99" s="16"/>
      <c r="I99" s="16">
        <v>3.6989999999990317</v>
      </c>
      <c r="J99" s="16"/>
      <c r="K99" s="16">
        <v>665.86490000000072</v>
      </c>
      <c r="L99" s="16"/>
      <c r="M99" s="16">
        <v>1220.3057000000024</v>
      </c>
      <c r="N99" s="16">
        <f>-680.38-1220.31</f>
        <v>-1900.69</v>
      </c>
      <c r="O99" s="56">
        <v>1063.83</v>
      </c>
      <c r="P99" s="16">
        <v>-1063.83</v>
      </c>
      <c r="Q99" s="16">
        <v>1260.7693000000022</v>
      </c>
      <c r="R99" s="16">
        <v>-1260.77</v>
      </c>
      <c r="S99" s="16">
        <v>1434.733200000001</v>
      </c>
      <c r="T99" s="16">
        <v>-1434.73</v>
      </c>
      <c r="U99" s="16">
        <v>4.508099999996344</v>
      </c>
      <c r="V99" s="16"/>
      <c r="W99" s="16">
        <v>25.037200000001562</v>
      </c>
      <c r="X99" s="16">
        <v>-129.91999999999999</v>
      </c>
      <c r="Y99" s="16">
        <v>3.5875000000013961</v>
      </c>
      <c r="Z99" s="16"/>
      <c r="AA99" s="4"/>
      <c r="AB99" s="42">
        <f t="shared" si="2"/>
        <v>-338.27259999999688</v>
      </c>
    </row>
    <row r="100" spans="1:28" ht="15.75">
      <c r="A100" s="1" t="s">
        <v>83</v>
      </c>
      <c r="B100" s="36" t="s">
        <v>168</v>
      </c>
      <c r="C100" s="16">
        <v>0</v>
      </c>
      <c r="D100" s="16"/>
      <c r="E100" s="16">
        <v>0</v>
      </c>
      <c r="F100" s="16"/>
      <c r="G100" s="16">
        <v>0</v>
      </c>
      <c r="H100" s="16"/>
      <c r="I100" s="16">
        <v>0</v>
      </c>
      <c r="J100" s="16"/>
      <c r="K100" s="16">
        <v>0</v>
      </c>
      <c r="L100" s="16"/>
      <c r="M100" s="16">
        <v>0</v>
      </c>
      <c r="N100" s="16"/>
      <c r="O100" s="56" t="s">
        <v>202</v>
      </c>
      <c r="P100" s="16"/>
      <c r="Q100" s="16">
        <v>0</v>
      </c>
      <c r="R100" s="16"/>
      <c r="S100" s="16">
        <v>0</v>
      </c>
      <c r="T100" s="16"/>
      <c r="U100" s="16">
        <v>0</v>
      </c>
      <c r="V100" s="16"/>
      <c r="W100" s="16">
        <v>0</v>
      </c>
      <c r="X100" s="16"/>
      <c r="Y100" s="16">
        <v>0</v>
      </c>
      <c r="Z100" s="16"/>
      <c r="AA100" s="4"/>
      <c r="AB100" s="42">
        <f t="shared" si="2"/>
        <v>0</v>
      </c>
    </row>
    <row r="101" spans="1:28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8"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8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8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8" spans="1:28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8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8"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9:AC110"/>
  <sheetViews>
    <sheetView workbookViewId="0">
      <pane xSplit="2" ySplit="10" topLeftCell="V11" activePane="bottomRight" state="frozen"/>
      <selection pane="topRight" activeCell="C1" sqref="C1"/>
      <selection pane="bottomLeft" activeCell="A11" sqref="A11"/>
      <selection pane="bottomRight" activeCell="B15" sqref="B15"/>
    </sheetView>
  </sheetViews>
  <sheetFormatPr defaultRowHeight="15"/>
  <cols>
    <col min="1" max="1" width="10.28515625" bestFit="1" customWidth="1"/>
    <col min="2" max="3" width="17.7109375" customWidth="1"/>
    <col min="4" max="4" width="17.28515625" style="2" bestFit="1" customWidth="1"/>
    <col min="5" max="5" width="19.85546875" style="2" customWidth="1"/>
    <col min="6" max="6" width="17.28515625" style="2" bestFit="1" customWidth="1"/>
    <col min="7" max="7" width="19.85546875" style="2" customWidth="1"/>
    <col min="8" max="8" width="17.28515625" style="2" bestFit="1" customWidth="1"/>
    <col min="9" max="9" width="19.85546875" style="2" customWidth="1"/>
    <col min="10" max="10" width="17.28515625" bestFit="1" customWidth="1"/>
    <col min="11" max="11" width="17.85546875" customWidth="1"/>
    <col min="12" max="12" width="17.28515625" bestFit="1" customWidth="1"/>
    <col min="13" max="19" width="17.28515625" customWidth="1"/>
    <col min="20" max="28" width="17.85546875" customWidth="1"/>
    <col min="29" max="29" width="15.7109375" customWidth="1"/>
  </cols>
  <sheetData>
    <row r="9" spans="1:29" ht="15.75" thickBot="1">
      <c r="D9"/>
      <c r="F9"/>
      <c r="G9"/>
      <c r="H9"/>
      <c r="I9"/>
    </row>
    <row r="10" spans="1:29" ht="26.25" customHeight="1" thickBot="1">
      <c r="A10" s="55" t="s">
        <v>0</v>
      </c>
      <c r="B10" s="54" t="s">
        <v>96</v>
      </c>
      <c r="C10" s="78">
        <v>41791</v>
      </c>
      <c r="D10" s="26">
        <v>42005</v>
      </c>
      <c r="E10" s="3"/>
      <c r="F10" s="26">
        <v>42036</v>
      </c>
      <c r="G10" s="77"/>
      <c r="H10" s="26">
        <v>42064</v>
      </c>
      <c r="I10" s="10"/>
      <c r="J10" s="26">
        <v>42095</v>
      </c>
      <c r="K10" s="10"/>
      <c r="L10" s="26">
        <v>42125</v>
      </c>
      <c r="M10" s="10"/>
      <c r="N10" s="26">
        <v>42156</v>
      </c>
      <c r="O10" s="10"/>
      <c r="P10" s="26">
        <v>42186</v>
      </c>
      <c r="Q10" s="10"/>
      <c r="R10" s="26">
        <v>42217</v>
      </c>
      <c r="S10" s="10"/>
      <c r="T10" s="10">
        <v>42248</v>
      </c>
      <c r="U10" s="3"/>
      <c r="V10" s="10">
        <v>42278</v>
      </c>
      <c r="W10" s="77"/>
      <c r="X10" s="10">
        <v>42309</v>
      </c>
      <c r="Y10" s="10"/>
      <c r="Z10" s="10">
        <v>42339</v>
      </c>
      <c r="AA10" s="10"/>
      <c r="AB10" s="10"/>
      <c r="AC10" s="52" t="s">
        <v>84</v>
      </c>
    </row>
    <row r="11" spans="1:29" ht="16.5" thickBot="1">
      <c r="A11" s="1" t="s">
        <v>1</v>
      </c>
      <c r="B11" s="35" t="s">
        <v>97</v>
      </c>
      <c r="C11" s="15">
        <v>951</v>
      </c>
      <c r="D11" s="15">
        <v>796.82</v>
      </c>
      <c r="E11" s="15"/>
      <c r="F11" s="15">
        <v>490.31</v>
      </c>
      <c r="G11" s="15">
        <v>-796.82</v>
      </c>
      <c r="H11" s="15">
        <v>199.01</v>
      </c>
      <c r="I11" s="15">
        <v>-490.31</v>
      </c>
      <c r="J11" s="15">
        <v>216.76</v>
      </c>
      <c r="K11" s="15">
        <v>-199.01</v>
      </c>
      <c r="L11" s="15">
        <v>397.77</v>
      </c>
      <c r="M11" s="15">
        <v>-216.76</v>
      </c>
      <c r="N11" s="15">
        <v>1437.51</v>
      </c>
      <c r="O11" s="15">
        <f>-397.77-951-1437.51</f>
        <v>-2786.2799999999997</v>
      </c>
      <c r="P11" s="15">
        <v>2010.57</v>
      </c>
      <c r="Q11" s="15"/>
      <c r="R11" s="15">
        <v>2015.56</v>
      </c>
      <c r="S11" s="15">
        <f>-1238.73-771.84-2015.56</f>
        <v>-4026.13</v>
      </c>
      <c r="T11" s="15">
        <v>3492.1971999999992</v>
      </c>
      <c r="U11" s="15">
        <v>-3492.2</v>
      </c>
      <c r="V11" s="15">
        <v>2632.0891999999994</v>
      </c>
      <c r="W11" s="15">
        <v>-2632.09</v>
      </c>
      <c r="X11" s="15">
        <v>324.24879999999854</v>
      </c>
      <c r="Y11" s="15">
        <v>-324.25</v>
      </c>
      <c r="Z11" s="15">
        <v>364.01240000000087</v>
      </c>
      <c r="AA11" s="15">
        <v>-364.01</v>
      </c>
      <c r="AB11" s="51"/>
      <c r="AC11" s="42">
        <f t="shared" ref="AC11:AC42" si="0">SUM(C11:AB11)</f>
        <v>-2.4000000019555046E-3</v>
      </c>
    </row>
    <row r="12" spans="1:29" ht="16.5" thickBot="1">
      <c r="A12" s="1" t="s">
        <v>2</v>
      </c>
      <c r="B12" s="36" t="s">
        <v>98</v>
      </c>
      <c r="C12" s="16"/>
      <c r="D12" s="16">
        <v>212.9</v>
      </c>
      <c r="E12" s="16"/>
      <c r="F12" s="16">
        <v>148.12</v>
      </c>
      <c r="G12" s="16">
        <v>-430</v>
      </c>
      <c r="H12" s="16">
        <v>254.87</v>
      </c>
      <c r="I12" s="16"/>
      <c r="J12" s="16">
        <v>139.34</v>
      </c>
      <c r="K12" s="16">
        <v>-400</v>
      </c>
      <c r="L12" s="16">
        <v>672.97</v>
      </c>
      <c r="M12" s="16"/>
      <c r="N12" s="16">
        <v>533.13</v>
      </c>
      <c r="O12" s="16"/>
      <c r="P12" s="16">
        <v>620.14</v>
      </c>
      <c r="Q12" s="16"/>
      <c r="R12" s="16">
        <v>1056.7</v>
      </c>
      <c r="S12" s="16">
        <v>-3000</v>
      </c>
      <c r="T12" s="16">
        <v>1188.9778999999999</v>
      </c>
      <c r="U12" s="16"/>
      <c r="V12" s="16">
        <v>1334.9379000000001</v>
      </c>
      <c r="W12" s="16">
        <v>-2500</v>
      </c>
      <c r="X12" s="16">
        <v>490.96470000000045</v>
      </c>
      <c r="Y12" s="16"/>
      <c r="Z12" s="16">
        <v>283.47319999999922</v>
      </c>
      <c r="AA12" s="16"/>
      <c r="AB12" s="4"/>
      <c r="AC12" s="42">
        <f t="shared" si="0"/>
        <v>606.52369999999951</v>
      </c>
    </row>
    <row r="13" spans="1:29" ht="16.5" thickBot="1">
      <c r="A13" s="1" t="s">
        <v>3</v>
      </c>
      <c r="B13" s="36" t="s">
        <v>99</v>
      </c>
      <c r="C13" s="16">
        <v>17</v>
      </c>
      <c r="D13" s="16">
        <v>3.32</v>
      </c>
      <c r="E13" s="16"/>
      <c r="F13" s="16">
        <v>3.32</v>
      </c>
      <c r="G13" s="16"/>
      <c r="H13" s="16">
        <v>2.98</v>
      </c>
      <c r="I13" s="16"/>
      <c r="J13" s="16">
        <v>3.3</v>
      </c>
      <c r="K13" s="16"/>
      <c r="L13" s="16">
        <v>56.53</v>
      </c>
      <c r="M13" s="16"/>
      <c r="N13" s="16">
        <v>77.02</v>
      </c>
      <c r="O13" s="16">
        <v>-245.19</v>
      </c>
      <c r="P13" s="16">
        <v>16.88</v>
      </c>
      <c r="Q13" s="76">
        <v>-7977.04</v>
      </c>
      <c r="R13" s="16">
        <v>415.22</v>
      </c>
      <c r="S13" s="16">
        <v>-510</v>
      </c>
      <c r="T13" s="16">
        <v>42.469699999999939</v>
      </c>
      <c r="U13" s="16"/>
      <c r="V13" s="16">
        <v>4.295600000000146</v>
      </c>
      <c r="W13" s="16"/>
      <c r="X13" s="16">
        <v>3.6283999999998535</v>
      </c>
      <c r="Y13" s="16"/>
      <c r="Z13" s="16">
        <v>3.4524000000000137</v>
      </c>
      <c r="AA13" s="16"/>
      <c r="AB13" s="4"/>
      <c r="AC13" s="42">
        <f t="shared" si="0"/>
        <v>-8082.8139000000001</v>
      </c>
    </row>
    <row r="14" spans="1:29" ht="16.5" thickBot="1">
      <c r="A14" s="48" t="s">
        <v>4</v>
      </c>
      <c r="B14" s="47" t="s">
        <v>100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5"/>
      <c r="AC14" s="42">
        <f t="shared" si="0"/>
        <v>0</v>
      </c>
    </row>
    <row r="15" spans="1:29" ht="16.5" thickBot="1">
      <c r="A15" s="48" t="s">
        <v>5</v>
      </c>
      <c r="B15" s="47" t="s">
        <v>217</v>
      </c>
      <c r="C15" s="46"/>
      <c r="D15" s="46">
        <v>3238.49</v>
      </c>
      <c r="E15" s="46">
        <v>-3238.49</v>
      </c>
      <c r="F15" s="46">
        <v>3307.36</v>
      </c>
      <c r="G15" s="46">
        <v>-3307.36</v>
      </c>
      <c r="H15" s="46">
        <v>2347.4</v>
      </c>
      <c r="I15" s="46">
        <v>-2347.4</v>
      </c>
      <c r="J15" s="46">
        <v>2136.56</v>
      </c>
      <c r="K15" s="46">
        <v>-2136.56</v>
      </c>
      <c r="L15" s="46">
        <v>2338.89</v>
      </c>
      <c r="M15" s="46">
        <v>-2338.89</v>
      </c>
      <c r="N15" s="46">
        <v>602.64</v>
      </c>
      <c r="O15" s="46">
        <v>-602.64</v>
      </c>
      <c r="P15" s="46">
        <v>843.51</v>
      </c>
      <c r="Q15" s="46">
        <v>-843.51</v>
      </c>
      <c r="R15" s="46">
        <v>1358.86</v>
      </c>
      <c r="S15" s="46">
        <v>-1358.86</v>
      </c>
      <c r="T15" s="46">
        <v>1382.7189999999973</v>
      </c>
      <c r="U15" s="46">
        <v>-1382.72</v>
      </c>
      <c r="V15" s="46">
        <v>1757.9710000000005</v>
      </c>
      <c r="W15" s="46">
        <v>-1757.97</v>
      </c>
      <c r="X15" s="46"/>
      <c r="Y15" s="46"/>
      <c r="Z15" s="46"/>
      <c r="AA15" s="46"/>
      <c r="AB15" s="45"/>
      <c r="AC15" s="42">
        <f t="shared" si="0"/>
        <v>-2.2737367544323206E-12</v>
      </c>
    </row>
    <row r="16" spans="1:29" ht="16.5" thickBot="1">
      <c r="A16" s="1" t="s">
        <v>6</v>
      </c>
      <c r="B16" s="36" t="s">
        <v>101</v>
      </c>
      <c r="C16" s="16"/>
      <c r="D16" s="16" t="s">
        <v>202</v>
      </c>
      <c r="E16" s="16"/>
      <c r="F16" s="16" t="s">
        <v>202</v>
      </c>
      <c r="G16" s="16"/>
      <c r="H16" s="16" t="s">
        <v>202</v>
      </c>
      <c r="I16" s="16"/>
      <c r="J16" s="16">
        <v>1.44</v>
      </c>
      <c r="K16" s="16"/>
      <c r="L16" s="16">
        <v>1056.18</v>
      </c>
      <c r="M16" s="16"/>
      <c r="N16" s="16">
        <v>612.72</v>
      </c>
      <c r="O16" s="16"/>
      <c r="P16" s="16">
        <v>564.63</v>
      </c>
      <c r="Q16" s="16">
        <v>-3000</v>
      </c>
      <c r="R16" s="16">
        <v>544.92999999999995</v>
      </c>
      <c r="S16" s="16"/>
      <c r="T16" s="16">
        <v>830.24469999999872</v>
      </c>
      <c r="U16" s="16"/>
      <c r="V16" s="16">
        <v>326.99800000000118</v>
      </c>
      <c r="W16" s="16"/>
      <c r="X16" s="16">
        <v>0</v>
      </c>
      <c r="Y16" s="16">
        <v>-2000</v>
      </c>
      <c r="Z16" s="16">
        <v>0</v>
      </c>
      <c r="AA16" s="16"/>
      <c r="AB16" s="4"/>
      <c r="AC16" s="42">
        <f t="shared" si="0"/>
        <v>-1062.8572999999999</v>
      </c>
    </row>
    <row r="17" spans="1:29" ht="16.5" thickBot="1">
      <c r="A17" s="1" t="s">
        <v>7</v>
      </c>
      <c r="B17" s="36" t="s">
        <v>102</v>
      </c>
      <c r="C17" s="16"/>
      <c r="D17" s="16">
        <v>16.38</v>
      </c>
      <c r="E17" s="16"/>
      <c r="F17" s="16">
        <v>14.59</v>
      </c>
      <c r="G17" s="16"/>
      <c r="H17" s="16">
        <v>13.29</v>
      </c>
      <c r="I17" s="16"/>
      <c r="J17" s="16">
        <v>1055.2</v>
      </c>
      <c r="K17" s="16"/>
      <c r="L17" s="16">
        <v>2519.89</v>
      </c>
      <c r="M17" s="16"/>
      <c r="N17" s="16">
        <v>343.19</v>
      </c>
      <c r="O17" s="16"/>
      <c r="P17" s="16">
        <v>826.03</v>
      </c>
      <c r="Q17" s="16"/>
      <c r="R17" s="16">
        <v>954.53</v>
      </c>
      <c r="S17" s="16">
        <v>-2123.75</v>
      </c>
      <c r="T17" s="16">
        <v>685.63220000000047</v>
      </c>
      <c r="U17" s="16"/>
      <c r="V17" s="16">
        <v>391.84710000000121</v>
      </c>
      <c r="W17" s="16"/>
      <c r="X17" s="16">
        <v>1284.2772000000018</v>
      </c>
      <c r="Y17" s="16"/>
      <c r="Z17" s="16">
        <v>15.711799999995318</v>
      </c>
      <c r="AA17" s="16"/>
      <c r="AB17" s="4"/>
      <c r="AC17" s="42">
        <f t="shared" si="0"/>
        <v>5996.818299999999</v>
      </c>
    </row>
    <row r="18" spans="1:29" ht="16.5" thickBot="1">
      <c r="A18" s="1" t="s">
        <v>8</v>
      </c>
      <c r="B18" s="36" t="s">
        <v>103</v>
      </c>
      <c r="C18" s="16"/>
      <c r="D18" s="16">
        <v>3.81</v>
      </c>
      <c r="E18" s="16"/>
      <c r="F18" s="16">
        <v>3.76</v>
      </c>
      <c r="G18" s="16"/>
      <c r="H18" s="16">
        <v>3.36</v>
      </c>
      <c r="I18" s="16"/>
      <c r="J18" s="16">
        <v>3.76</v>
      </c>
      <c r="K18" s="16"/>
      <c r="L18" s="16">
        <v>38.520000000000003</v>
      </c>
      <c r="M18" s="16"/>
      <c r="N18" s="16">
        <v>45.88</v>
      </c>
      <c r="O18" s="16"/>
      <c r="P18" s="16">
        <v>9.25</v>
      </c>
      <c r="Q18" s="16">
        <v>-1500</v>
      </c>
      <c r="R18" s="16">
        <v>62.51</v>
      </c>
      <c r="S18" s="16"/>
      <c r="T18" s="16">
        <v>7.6007999999995866</v>
      </c>
      <c r="U18" s="16"/>
      <c r="V18" s="16">
        <v>7.0728000000001678</v>
      </c>
      <c r="W18" s="16"/>
      <c r="X18" s="16">
        <v>8.1268000000003067</v>
      </c>
      <c r="Y18" s="16"/>
      <c r="Z18" s="16">
        <v>4.4199000000000837</v>
      </c>
      <c r="AA18" s="16"/>
      <c r="AB18" s="4"/>
      <c r="AC18" s="42">
        <f t="shared" si="0"/>
        <v>-1301.9297000000001</v>
      </c>
    </row>
    <row r="19" spans="1:29" ht="16.5" thickBot="1">
      <c r="A19" s="1" t="s">
        <v>9</v>
      </c>
      <c r="B19" s="36" t="s">
        <v>104</v>
      </c>
      <c r="C19" s="16"/>
      <c r="D19" s="16">
        <v>3.04</v>
      </c>
      <c r="E19" s="16"/>
      <c r="F19" s="16">
        <v>3.07</v>
      </c>
      <c r="G19" s="16"/>
      <c r="H19" s="16">
        <v>2.82</v>
      </c>
      <c r="I19" s="16"/>
      <c r="J19" s="16">
        <v>12.24</v>
      </c>
      <c r="K19" s="16"/>
      <c r="L19" s="16">
        <v>108.77</v>
      </c>
      <c r="M19" s="16"/>
      <c r="N19" s="16">
        <v>135.69</v>
      </c>
      <c r="O19" s="16"/>
      <c r="P19" s="16">
        <v>269.61</v>
      </c>
      <c r="Q19" s="16"/>
      <c r="R19" s="16">
        <v>327.19</v>
      </c>
      <c r="S19" s="16"/>
      <c r="T19" s="16">
        <v>509.18700000000007</v>
      </c>
      <c r="U19" s="16"/>
      <c r="V19" s="16">
        <v>162.15409999999977</v>
      </c>
      <c r="W19" s="16"/>
      <c r="X19" s="16">
        <v>106.95520000000029</v>
      </c>
      <c r="Y19" s="16"/>
      <c r="Z19" s="16">
        <v>13.886999999999759</v>
      </c>
      <c r="AA19" s="16">
        <v>-841.26</v>
      </c>
      <c r="AB19" s="4"/>
      <c r="AC19" s="42">
        <f t="shared" si="0"/>
        <v>813.35329999999999</v>
      </c>
    </row>
    <row r="20" spans="1:29" ht="16.5" thickBot="1">
      <c r="A20" s="48" t="s">
        <v>10</v>
      </c>
      <c r="B20" s="47" t="s">
        <v>105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5"/>
      <c r="AC20" s="42">
        <f t="shared" si="0"/>
        <v>0</v>
      </c>
    </row>
    <row r="21" spans="1:29" ht="16.5" thickBot="1">
      <c r="A21" s="48" t="s">
        <v>11</v>
      </c>
      <c r="B21" s="47" t="s">
        <v>106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5"/>
      <c r="AC21" s="42">
        <f t="shared" si="0"/>
        <v>0</v>
      </c>
    </row>
    <row r="22" spans="1:29" ht="16.5" thickBot="1">
      <c r="A22" s="1" t="s">
        <v>12</v>
      </c>
      <c r="B22" s="36" t="s">
        <v>107</v>
      </c>
      <c r="C22" s="16"/>
      <c r="D22" s="16">
        <v>1021.11</v>
      </c>
      <c r="E22" s="16">
        <v>-2885.92</v>
      </c>
      <c r="F22" s="16">
        <v>368.42</v>
      </c>
      <c r="G22" s="16"/>
      <c r="H22" s="16">
        <v>161.52000000000001</v>
      </c>
      <c r="I22" s="16">
        <v>-1389.53</v>
      </c>
      <c r="J22" s="16">
        <v>95.91</v>
      </c>
      <c r="K22" s="16">
        <v>-257.43</v>
      </c>
      <c r="L22" s="16">
        <v>629.86</v>
      </c>
      <c r="M22" s="16"/>
      <c r="N22" s="16">
        <v>587.36</v>
      </c>
      <c r="O22" s="16"/>
      <c r="P22" s="16">
        <v>875.84</v>
      </c>
      <c r="Q22" s="16">
        <v>-1217.22</v>
      </c>
      <c r="R22" s="16">
        <v>772.2</v>
      </c>
      <c r="S22" s="16">
        <v>-1648.04</v>
      </c>
      <c r="T22" s="16">
        <v>1109.4119000000014</v>
      </c>
      <c r="U22" s="16"/>
      <c r="V22" s="16">
        <v>684.20480000000009</v>
      </c>
      <c r="W22" s="16">
        <v>-1793.61</v>
      </c>
      <c r="X22" s="16">
        <v>1108.324699999999</v>
      </c>
      <c r="Y22" s="16"/>
      <c r="Z22" s="16">
        <v>943.63459999999986</v>
      </c>
      <c r="AA22" s="16">
        <v>-2051.9499999999998</v>
      </c>
      <c r="AB22" s="4"/>
      <c r="AC22" s="42">
        <f t="shared" si="0"/>
        <v>-2885.9039999999986</v>
      </c>
    </row>
    <row r="23" spans="1:29" ht="16.5" thickBot="1">
      <c r="A23" s="1" t="s">
        <v>13</v>
      </c>
      <c r="B23" s="36" t="s">
        <v>108</v>
      </c>
      <c r="C23" s="16"/>
      <c r="D23" s="16">
        <v>13.48</v>
      </c>
      <c r="E23" s="16"/>
      <c r="F23" s="16">
        <v>13.53</v>
      </c>
      <c r="G23" s="16"/>
      <c r="H23" s="16">
        <v>12.28</v>
      </c>
      <c r="I23" s="16"/>
      <c r="J23" s="16">
        <v>15.61</v>
      </c>
      <c r="K23" s="16"/>
      <c r="L23" s="16">
        <v>459.83</v>
      </c>
      <c r="M23" s="16"/>
      <c r="N23" s="16">
        <v>1175.18</v>
      </c>
      <c r="O23" s="16">
        <v>-459.83</v>
      </c>
      <c r="P23" s="16">
        <v>1613.21</v>
      </c>
      <c r="Q23" s="16">
        <v>-1548.87</v>
      </c>
      <c r="R23" s="16">
        <v>1651.26</v>
      </c>
      <c r="S23" s="16">
        <v>-1651.26</v>
      </c>
      <c r="T23" s="16">
        <v>1823.0551999999993</v>
      </c>
      <c r="U23" s="16"/>
      <c r="V23" s="16">
        <v>421.96789999999999</v>
      </c>
      <c r="W23" s="16"/>
      <c r="X23" s="16">
        <v>32.820399999999744</v>
      </c>
      <c r="Y23" s="16">
        <v>-3858.24</v>
      </c>
      <c r="Z23" s="16">
        <v>14.514599999999618</v>
      </c>
      <c r="AA23" s="16"/>
      <c r="AB23" s="4"/>
      <c r="AC23" s="42">
        <f t="shared" si="0"/>
        <v>-271.46190000000058</v>
      </c>
    </row>
    <row r="24" spans="1:29" ht="16.5" thickBot="1">
      <c r="A24" s="1" t="s">
        <v>14</v>
      </c>
      <c r="B24" s="36" t="s">
        <v>109</v>
      </c>
      <c r="C24" s="16"/>
      <c r="D24" s="16">
        <v>315.7</v>
      </c>
      <c r="E24" s="16"/>
      <c r="F24" s="16">
        <v>29.12</v>
      </c>
      <c r="G24" s="16">
        <v>-315.7</v>
      </c>
      <c r="H24" s="16">
        <v>213.56</v>
      </c>
      <c r="I24" s="16"/>
      <c r="J24" s="16">
        <v>15.76</v>
      </c>
      <c r="K24" s="16"/>
      <c r="L24" s="16">
        <v>1825.97</v>
      </c>
      <c r="M24" s="16"/>
      <c r="N24" s="16">
        <v>1412.31</v>
      </c>
      <c r="O24" s="16">
        <v>-2084.41</v>
      </c>
      <c r="P24" s="16">
        <v>1596.61</v>
      </c>
      <c r="Q24" s="16">
        <v>-1412.31</v>
      </c>
      <c r="R24" s="16">
        <v>1882.38</v>
      </c>
      <c r="S24" s="16">
        <f>-1596.61-1882.38</f>
        <v>-3478.99</v>
      </c>
      <c r="T24" s="16">
        <v>2684.7288999999964</v>
      </c>
      <c r="U24" s="16"/>
      <c r="V24" s="16">
        <v>1732.2422999999969</v>
      </c>
      <c r="W24" s="16">
        <v>-2684.73</v>
      </c>
      <c r="X24" s="16">
        <v>53.765700000009133</v>
      </c>
      <c r="Y24" s="16">
        <v>-1732.24</v>
      </c>
      <c r="Z24" s="16">
        <v>194.99889999999687</v>
      </c>
      <c r="AA24" s="16"/>
      <c r="AB24" s="4"/>
      <c r="AC24" s="42">
        <f t="shared" si="0"/>
        <v>248.76579999999944</v>
      </c>
    </row>
    <row r="25" spans="1:29" ht="16.5" thickBot="1">
      <c r="A25" s="48" t="s">
        <v>15</v>
      </c>
      <c r="B25" s="47" t="s">
        <v>110</v>
      </c>
      <c r="C25" s="46"/>
      <c r="D25" s="46">
        <v>812.85</v>
      </c>
      <c r="E25" s="46"/>
      <c r="F25" s="46">
        <v>828.14</v>
      </c>
      <c r="G25" s="46"/>
      <c r="H25" s="46"/>
      <c r="I25" s="46"/>
      <c r="J25" s="46"/>
      <c r="K25" s="46"/>
      <c r="L25" s="46"/>
      <c r="M25" s="46"/>
      <c r="N25" s="46"/>
      <c r="O25" s="46">
        <v>-5744.07</v>
      </c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5"/>
      <c r="AC25" s="42">
        <f t="shared" si="0"/>
        <v>-4103.08</v>
      </c>
    </row>
    <row r="26" spans="1:29" ht="16.5" thickBot="1">
      <c r="A26" s="1" t="s">
        <v>16</v>
      </c>
      <c r="B26" s="36" t="s">
        <v>111</v>
      </c>
      <c r="C26" s="16"/>
      <c r="D26" s="16" t="s">
        <v>202</v>
      </c>
      <c r="E26" s="16"/>
      <c r="F26" s="16" t="s">
        <v>202</v>
      </c>
      <c r="G26" s="16"/>
      <c r="H26" s="16" t="s">
        <v>202</v>
      </c>
      <c r="I26" s="16"/>
      <c r="J26" s="16" t="s">
        <v>202</v>
      </c>
      <c r="K26" s="16"/>
      <c r="L26" s="16">
        <v>2.75</v>
      </c>
      <c r="M26" s="16"/>
      <c r="N26" s="16">
        <v>100.6</v>
      </c>
      <c r="O26" s="16"/>
      <c r="P26" s="16">
        <v>73.040000000000006</v>
      </c>
      <c r="Q26" s="16"/>
      <c r="R26" s="16">
        <v>49.78</v>
      </c>
      <c r="S26" s="16"/>
      <c r="T26" s="16">
        <v>33.616800000000808</v>
      </c>
      <c r="U26" s="16"/>
      <c r="V26" s="16">
        <v>28.346899999999426</v>
      </c>
      <c r="W26" s="16"/>
      <c r="X26" s="16">
        <v>14.670499999999837</v>
      </c>
      <c r="Y26" s="16"/>
      <c r="Z26" s="16">
        <v>0</v>
      </c>
      <c r="AA26" s="16"/>
      <c r="AB26" s="4"/>
      <c r="AC26" s="42">
        <f t="shared" si="0"/>
        <v>302.80420000000004</v>
      </c>
    </row>
    <row r="27" spans="1:29" ht="16.5" thickBot="1">
      <c r="A27" s="1" t="s">
        <v>17</v>
      </c>
      <c r="B27" s="36" t="s">
        <v>112</v>
      </c>
      <c r="C27" s="16"/>
      <c r="D27" s="16">
        <v>7.52</v>
      </c>
      <c r="E27" s="16"/>
      <c r="F27" s="16" t="s">
        <v>202</v>
      </c>
      <c r="G27" s="16"/>
      <c r="H27" s="16">
        <v>30.69</v>
      </c>
      <c r="I27" s="16"/>
      <c r="J27" s="16" t="s">
        <v>202</v>
      </c>
      <c r="K27" s="16"/>
      <c r="L27" s="16">
        <v>472.46</v>
      </c>
      <c r="M27" s="16">
        <v>-1500</v>
      </c>
      <c r="N27" s="16">
        <v>711.31</v>
      </c>
      <c r="O27" s="16">
        <f>-500-600</f>
        <v>-1100</v>
      </c>
      <c r="P27" s="16">
        <v>818.21</v>
      </c>
      <c r="Q27" s="16">
        <v>-711</v>
      </c>
      <c r="R27" s="16">
        <v>1033.51</v>
      </c>
      <c r="S27" s="16">
        <f>-850-1040</f>
        <v>-1890</v>
      </c>
      <c r="T27" s="16">
        <v>881.77250000000049</v>
      </c>
      <c r="U27" s="16"/>
      <c r="V27" s="16">
        <v>121.32879999999942</v>
      </c>
      <c r="W27" s="16">
        <v>-850</v>
      </c>
      <c r="X27" s="16">
        <v>0.89590000000038339</v>
      </c>
      <c r="Y27" s="16">
        <v>-900</v>
      </c>
      <c r="Z27" s="16">
        <v>0</v>
      </c>
      <c r="AA27" s="16"/>
      <c r="AB27" s="4"/>
      <c r="AC27" s="42">
        <f t="shared" si="0"/>
        <v>-2873.3027999999999</v>
      </c>
    </row>
    <row r="28" spans="1:29" ht="16.5" thickBot="1">
      <c r="A28" s="1" t="s">
        <v>18</v>
      </c>
      <c r="B28" s="36" t="s">
        <v>113</v>
      </c>
      <c r="C28" s="16"/>
      <c r="D28" s="16" t="s">
        <v>202</v>
      </c>
      <c r="E28" s="16"/>
      <c r="F28" s="16" t="s">
        <v>202</v>
      </c>
      <c r="G28" s="16"/>
      <c r="H28" s="16" t="s">
        <v>202</v>
      </c>
      <c r="I28" s="16"/>
      <c r="J28" s="16" t="s">
        <v>202</v>
      </c>
      <c r="K28" s="16"/>
      <c r="L28" s="16">
        <v>17.829999999999998</v>
      </c>
      <c r="M28" s="16"/>
      <c r="N28" s="16">
        <v>64.489999999999995</v>
      </c>
      <c r="O28" s="16"/>
      <c r="P28" s="16">
        <v>19.8</v>
      </c>
      <c r="Q28" s="16"/>
      <c r="R28" s="16">
        <v>120.65</v>
      </c>
      <c r="S28" s="16"/>
      <c r="T28" s="16">
        <v>256.50159999999971</v>
      </c>
      <c r="U28" s="16"/>
      <c r="V28" s="16">
        <v>0.8958999999997842</v>
      </c>
      <c r="W28" s="16">
        <v>-611.97</v>
      </c>
      <c r="X28" s="16">
        <v>0</v>
      </c>
      <c r="Y28" s="16"/>
      <c r="Z28" s="16">
        <v>0</v>
      </c>
      <c r="AA28" s="16"/>
      <c r="AB28" s="4"/>
      <c r="AC28" s="42">
        <f t="shared" si="0"/>
        <v>-131.80250000000058</v>
      </c>
    </row>
    <row r="29" spans="1:29" ht="16.5" thickBot="1">
      <c r="A29" s="1" t="s">
        <v>19</v>
      </c>
      <c r="B29" s="36" t="s">
        <v>114</v>
      </c>
      <c r="C29" s="16"/>
      <c r="D29" s="16" t="s">
        <v>202</v>
      </c>
      <c r="E29" s="16"/>
      <c r="F29" s="16" t="s">
        <v>202</v>
      </c>
      <c r="G29" s="16"/>
      <c r="H29" s="16" t="s">
        <v>202</v>
      </c>
      <c r="I29" s="16"/>
      <c r="J29" s="16" t="s">
        <v>202</v>
      </c>
      <c r="K29" s="16"/>
      <c r="L29" s="16">
        <v>178.87</v>
      </c>
      <c r="M29" s="16"/>
      <c r="N29" s="16">
        <v>197.05</v>
      </c>
      <c r="O29" s="16"/>
      <c r="P29" s="16">
        <v>1055.79</v>
      </c>
      <c r="Q29" s="16">
        <v>-375.92</v>
      </c>
      <c r="R29" s="16">
        <v>945.61</v>
      </c>
      <c r="S29" s="16">
        <v>-2001.4</v>
      </c>
      <c r="T29" s="16">
        <v>597.34860000000037</v>
      </c>
      <c r="U29" s="16"/>
      <c r="V29" s="16">
        <v>606.84860000000083</v>
      </c>
      <c r="W29" s="16"/>
      <c r="X29" s="16">
        <v>0</v>
      </c>
      <c r="Y29" s="16">
        <v>-1204.2</v>
      </c>
      <c r="Z29" s="16">
        <v>0</v>
      </c>
      <c r="AA29" s="16"/>
      <c r="AB29" s="4"/>
      <c r="AC29" s="42">
        <f t="shared" si="0"/>
        <v>-2.7999999988423951E-3</v>
      </c>
    </row>
    <row r="30" spans="1:29" ht="16.5" thickBot="1">
      <c r="A30" s="48" t="s">
        <v>20</v>
      </c>
      <c r="B30" s="47" t="s">
        <v>181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5"/>
      <c r="AC30" s="42">
        <f t="shared" si="0"/>
        <v>0</v>
      </c>
    </row>
    <row r="31" spans="1:29" ht="16.5" thickBot="1">
      <c r="A31" s="1" t="s">
        <v>21</v>
      </c>
      <c r="B31" s="36" t="s">
        <v>115</v>
      </c>
      <c r="C31" s="16"/>
      <c r="D31" s="16">
        <v>2.15</v>
      </c>
      <c r="E31" s="16"/>
      <c r="F31" s="16">
        <v>2.15</v>
      </c>
      <c r="G31" s="16"/>
      <c r="H31" s="16">
        <v>1.97</v>
      </c>
      <c r="I31" s="16"/>
      <c r="J31" s="16">
        <v>77.16</v>
      </c>
      <c r="K31" s="16"/>
      <c r="L31" s="16">
        <v>859.54</v>
      </c>
      <c r="M31" s="16"/>
      <c r="N31" s="16">
        <v>931.16</v>
      </c>
      <c r="O31" s="16">
        <f>-7-78-140-157-619-860</f>
        <v>-1861</v>
      </c>
      <c r="P31" s="16">
        <v>1148.3800000000001</v>
      </c>
      <c r="Q31" s="16"/>
      <c r="R31" s="16">
        <v>1362.71</v>
      </c>
      <c r="S31" s="16"/>
      <c r="T31" s="16">
        <v>1524.5781000000002</v>
      </c>
      <c r="U31" s="16"/>
      <c r="V31" s="16">
        <v>2146.6025999999993</v>
      </c>
      <c r="W31" s="16">
        <v>-4963.5</v>
      </c>
      <c r="X31" s="16">
        <v>168.91570000000129</v>
      </c>
      <c r="Y31" s="16"/>
      <c r="Z31" s="16">
        <v>2.4132999999998175</v>
      </c>
      <c r="AA31" s="16"/>
      <c r="AB31" s="4"/>
      <c r="AC31" s="42">
        <f t="shared" si="0"/>
        <v>1403.2297000000012</v>
      </c>
    </row>
    <row r="32" spans="1:29" ht="16.5" thickBot="1">
      <c r="A32" s="1" t="s">
        <v>22</v>
      </c>
      <c r="B32" s="36" t="s">
        <v>116</v>
      </c>
      <c r="C32" s="16"/>
      <c r="D32" s="16">
        <v>12.48</v>
      </c>
      <c r="E32" s="16"/>
      <c r="F32" s="16">
        <v>12.27</v>
      </c>
      <c r="G32" s="16"/>
      <c r="H32" s="16">
        <v>13.06</v>
      </c>
      <c r="I32" s="16">
        <f>-12.27-12.48</f>
        <v>-24.75</v>
      </c>
      <c r="J32" s="16">
        <v>14.64</v>
      </c>
      <c r="K32" s="16">
        <f>-13.06-14.64</f>
        <v>-27.700000000000003</v>
      </c>
      <c r="L32" s="16">
        <v>300.04000000000002</v>
      </c>
      <c r="M32" s="16">
        <v>-300.04000000000002</v>
      </c>
      <c r="N32" s="16">
        <v>844.39</v>
      </c>
      <c r="O32" s="16"/>
      <c r="P32" s="16">
        <v>1478.77</v>
      </c>
      <c r="Q32" s="16">
        <f>-844.39-1217.22-1478.77</f>
        <v>-3540.38</v>
      </c>
      <c r="R32" s="16">
        <v>1173.5899999999999</v>
      </c>
      <c r="S32" s="16">
        <v>-1173.5899999999999</v>
      </c>
      <c r="T32" s="16">
        <v>1239.3621999999996</v>
      </c>
      <c r="U32" s="16">
        <v>-1239.3599999999999</v>
      </c>
      <c r="V32" s="16">
        <v>1190.8220000000013</v>
      </c>
      <c r="W32" s="16">
        <v>-1190.82</v>
      </c>
      <c r="X32" s="16">
        <v>20.519399999999841</v>
      </c>
      <c r="Y32" s="16">
        <v>-20.52</v>
      </c>
      <c r="Z32" s="16">
        <v>14.369399999999443</v>
      </c>
      <c r="AA32" s="16">
        <v>-14.37</v>
      </c>
      <c r="AB32" s="4"/>
      <c r="AC32" s="42">
        <f t="shared" si="0"/>
        <v>-1217.2169999999999</v>
      </c>
    </row>
    <row r="33" spans="1:29" ht="16.5" thickBot="1">
      <c r="A33" s="1" t="s">
        <v>23</v>
      </c>
      <c r="B33" s="36" t="s">
        <v>117</v>
      </c>
      <c r="C33" s="16"/>
      <c r="D33" s="16">
        <v>2.29</v>
      </c>
      <c r="E33" s="16"/>
      <c r="F33" s="16">
        <v>234.94</v>
      </c>
      <c r="G33" s="16"/>
      <c r="H33" s="16">
        <v>3.64</v>
      </c>
      <c r="I33" s="16"/>
      <c r="J33" s="16">
        <v>81.83</v>
      </c>
      <c r="K33" s="16"/>
      <c r="L33" s="16">
        <v>185.7</v>
      </c>
      <c r="M33" s="16"/>
      <c r="N33" s="16">
        <v>673.98</v>
      </c>
      <c r="O33" s="16"/>
      <c r="P33" s="16">
        <v>1962.93</v>
      </c>
      <c r="Q33" s="16"/>
      <c r="R33" s="16">
        <v>1981.65</v>
      </c>
      <c r="S33" s="16"/>
      <c r="T33" s="16">
        <v>2578.0105999999978</v>
      </c>
      <c r="U33" s="16"/>
      <c r="V33" s="16">
        <v>550.03399999999999</v>
      </c>
      <c r="W33" s="16"/>
      <c r="X33" s="16">
        <v>4.438800000001569</v>
      </c>
      <c r="Y33" s="16"/>
      <c r="Z33" s="16">
        <v>10.919900000000061</v>
      </c>
      <c r="AA33" s="16"/>
      <c r="AB33" s="4"/>
      <c r="AC33" s="42">
        <f t="shared" si="0"/>
        <v>8270.3633000000009</v>
      </c>
    </row>
    <row r="34" spans="1:29" ht="16.5" thickBot="1">
      <c r="A34" s="1" t="s">
        <v>24</v>
      </c>
      <c r="B34" s="36" t="s">
        <v>118</v>
      </c>
      <c r="C34" s="16"/>
      <c r="D34" s="16">
        <v>3.59</v>
      </c>
      <c r="E34" s="16"/>
      <c r="F34" s="16">
        <v>3.49</v>
      </c>
      <c r="G34" s="16"/>
      <c r="H34" s="16">
        <v>3.19</v>
      </c>
      <c r="I34" s="16"/>
      <c r="J34" s="16">
        <v>3.48</v>
      </c>
      <c r="K34" s="16"/>
      <c r="L34" s="16">
        <v>35.380000000000003</v>
      </c>
      <c r="M34" s="16"/>
      <c r="N34" s="16">
        <v>154.33000000000001</v>
      </c>
      <c r="O34" s="16"/>
      <c r="P34" s="16">
        <v>274.63</v>
      </c>
      <c r="Q34" s="16"/>
      <c r="R34" s="16">
        <v>292.35000000000002</v>
      </c>
      <c r="S34" s="16"/>
      <c r="T34" s="16">
        <v>689.79149999999981</v>
      </c>
      <c r="U34" s="16"/>
      <c r="V34" s="16">
        <v>165.59120000000036</v>
      </c>
      <c r="W34" s="16"/>
      <c r="X34" s="16">
        <v>3.8749999999999796</v>
      </c>
      <c r="Y34" s="16"/>
      <c r="Z34" s="16">
        <v>3.7516999999994929</v>
      </c>
      <c r="AA34" s="16"/>
      <c r="AB34" s="4"/>
      <c r="AC34" s="42">
        <f t="shared" si="0"/>
        <v>1633.4493999999997</v>
      </c>
    </row>
    <row r="35" spans="1:29" ht="16.5" thickBot="1">
      <c r="A35" s="1" t="s">
        <v>25</v>
      </c>
      <c r="B35" s="36" t="s">
        <v>119</v>
      </c>
      <c r="C35" s="16"/>
      <c r="D35" s="16" t="s">
        <v>202</v>
      </c>
      <c r="E35" s="16"/>
      <c r="F35" s="16" t="s">
        <v>202</v>
      </c>
      <c r="G35" s="16"/>
      <c r="H35" s="16" t="s">
        <v>202</v>
      </c>
      <c r="I35" s="16"/>
      <c r="J35" s="16" t="s">
        <v>202</v>
      </c>
      <c r="K35" s="16"/>
      <c r="L35" s="16">
        <v>4.41</v>
      </c>
      <c r="M35" s="16"/>
      <c r="N35" s="16">
        <v>378.37</v>
      </c>
      <c r="O35" s="16">
        <v>-337.09</v>
      </c>
      <c r="P35" s="16">
        <v>708.82</v>
      </c>
      <c r="Q35" s="16"/>
      <c r="R35" s="16">
        <v>985.59</v>
      </c>
      <c r="S35" s="16">
        <v>-2072.7800000000002</v>
      </c>
      <c r="T35" s="16">
        <v>361.48230000000058</v>
      </c>
      <c r="U35" s="16"/>
      <c r="V35" s="16">
        <v>89.645999999999674</v>
      </c>
      <c r="W35" s="16"/>
      <c r="X35" s="16">
        <v>1.3701999999999519</v>
      </c>
      <c r="Y35" s="16"/>
      <c r="Z35" s="16">
        <v>0</v>
      </c>
      <c r="AA35" s="16"/>
      <c r="AB35" s="4"/>
      <c r="AC35" s="42">
        <f t="shared" si="0"/>
        <v>119.81850000000014</v>
      </c>
    </row>
    <row r="36" spans="1:29" ht="16.5" thickBot="1">
      <c r="A36" s="1" t="s">
        <v>193</v>
      </c>
      <c r="B36" s="36" t="s">
        <v>192</v>
      </c>
      <c r="C36" s="16"/>
      <c r="D36" s="16" t="s">
        <v>202</v>
      </c>
      <c r="E36" s="16"/>
      <c r="F36" s="16" t="s">
        <v>202</v>
      </c>
      <c r="G36" s="16"/>
      <c r="H36" s="16" t="s">
        <v>202</v>
      </c>
      <c r="I36" s="16"/>
      <c r="J36" s="16" t="s">
        <v>202</v>
      </c>
      <c r="K36" s="16"/>
      <c r="L36" s="16" t="s">
        <v>202</v>
      </c>
      <c r="M36" s="16"/>
      <c r="N36" s="16">
        <v>17.43</v>
      </c>
      <c r="O36" s="16"/>
      <c r="P36" s="16" t="s">
        <v>202</v>
      </c>
      <c r="Q36" s="16"/>
      <c r="R36" s="16">
        <v>298.98</v>
      </c>
      <c r="S36" s="16"/>
      <c r="T36" s="16">
        <v>72.441900000000061</v>
      </c>
      <c r="U36" s="16"/>
      <c r="V36" s="16">
        <v>0</v>
      </c>
      <c r="W36" s="16"/>
      <c r="X36" s="16">
        <v>0</v>
      </c>
      <c r="Y36" s="16"/>
      <c r="Z36" s="16">
        <v>0</v>
      </c>
      <c r="AA36" s="16"/>
      <c r="AB36" s="4"/>
      <c r="AC36" s="42">
        <f t="shared" si="0"/>
        <v>388.85190000000011</v>
      </c>
    </row>
    <row r="37" spans="1:29" ht="16.5" thickBot="1">
      <c r="A37" s="1" t="s">
        <v>26</v>
      </c>
      <c r="B37" s="36" t="s">
        <v>120</v>
      </c>
      <c r="C37" s="16"/>
      <c r="D37" s="16">
        <v>3.65</v>
      </c>
      <c r="E37" s="16"/>
      <c r="F37" s="16">
        <v>3.72</v>
      </c>
      <c r="G37" s="16"/>
      <c r="H37" s="16">
        <v>3.36</v>
      </c>
      <c r="I37" s="16"/>
      <c r="J37" s="16">
        <v>9.4600000000000009</v>
      </c>
      <c r="K37" s="16"/>
      <c r="L37" s="16">
        <v>62.01</v>
      </c>
      <c r="M37" s="16"/>
      <c r="N37" s="16">
        <v>485.31</v>
      </c>
      <c r="O37" s="16"/>
      <c r="P37" s="16">
        <v>531.72</v>
      </c>
      <c r="Q37" s="16"/>
      <c r="R37" s="16">
        <v>776.11</v>
      </c>
      <c r="S37" s="16">
        <v>-2000</v>
      </c>
      <c r="T37" s="16">
        <v>739.92609999999968</v>
      </c>
      <c r="U37" s="16"/>
      <c r="V37" s="16">
        <v>213.58470000000025</v>
      </c>
      <c r="W37" s="16"/>
      <c r="X37" s="16">
        <v>4.1216000000004565</v>
      </c>
      <c r="Y37" s="16"/>
      <c r="Z37" s="16">
        <v>3.9107999999992464</v>
      </c>
      <c r="AA37" s="16"/>
      <c r="AB37" s="4"/>
      <c r="AC37" s="42">
        <f t="shared" si="0"/>
        <v>836.88319999999976</v>
      </c>
    </row>
    <row r="38" spans="1:29" ht="16.5" thickBot="1">
      <c r="A38" s="1" t="s">
        <v>27</v>
      </c>
      <c r="B38" s="36" t="s">
        <v>121</v>
      </c>
      <c r="C38" s="16"/>
      <c r="D38" s="16" t="s">
        <v>202</v>
      </c>
      <c r="E38" s="16"/>
      <c r="F38" s="16" t="s">
        <v>202</v>
      </c>
      <c r="G38" s="16"/>
      <c r="H38" s="16" t="s">
        <v>202</v>
      </c>
      <c r="I38" s="16"/>
      <c r="J38" s="16" t="s">
        <v>202</v>
      </c>
      <c r="K38" s="16"/>
      <c r="L38" s="16">
        <v>1.74</v>
      </c>
      <c r="M38" s="16"/>
      <c r="N38" s="16">
        <v>52.87</v>
      </c>
      <c r="O38" s="16"/>
      <c r="P38" s="16">
        <v>89.35</v>
      </c>
      <c r="Q38" s="16"/>
      <c r="R38" s="16">
        <v>153.97</v>
      </c>
      <c r="S38" s="16"/>
      <c r="T38" s="16">
        <v>83.996700000000246</v>
      </c>
      <c r="U38" s="16"/>
      <c r="V38" s="16">
        <v>134.49719999999991</v>
      </c>
      <c r="W38" s="16"/>
      <c r="X38" s="16">
        <v>0.72190000000004428</v>
      </c>
      <c r="Y38" s="16"/>
      <c r="Z38" s="16">
        <v>0</v>
      </c>
      <c r="AA38" s="16"/>
      <c r="AB38" s="4"/>
      <c r="AC38" s="42">
        <f t="shared" si="0"/>
        <v>517.14580000000012</v>
      </c>
    </row>
    <row r="39" spans="1:29" ht="16.5" thickBot="1">
      <c r="A39" s="1" t="s">
        <v>28</v>
      </c>
      <c r="B39" s="36" t="s">
        <v>122</v>
      </c>
      <c r="C39" s="16"/>
      <c r="D39" s="16" t="s">
        <v>202</v>
      </c>
      <c r="E39" s="16"/>
      <c r="F39" s="16" t="s">
        <v>202</v>
      </c>
      <c r="G39" s="16"/>
      <c r="H39" s="16">
        <v>0.1</v>
      </c>
      <c r="I39" s="16"/>
      <c r="J39" s="16" t="s">
        <v>202</v>
      </c>
      <c r="K39" s="16"/>
      <c r="L39" s="16">
        <v>6.4</v>
      </c>
      <c r="M39" s="16"/>
      <c r="N39" s="16" t="s">
        <v>202</v>
      </c>
      <c r="O39" s="16"/>
      <c r="P39" s="16">
        <v>18.440000000000001</v>
      </c>
      <c r="Q39" s="16"/>
      <c r="R39" s="16">
        <v>48.18</v>
      </c>
      <c r="S39" s="16"/>
      <c r="T39" s="16">
        <v>20.925000000000008</v>
      </c>
      <c r="U39" s="16">
        <v>-105.33</v>
      </c>
      <c r="V39" s="16">
        <v>6.3767000000000413</v>
      </c>
      <c r="W39" s="16"/>
      <c r="X39" s="16">
        <v>2.318799999999988</v>
      </c>
      <c r="Y39" s="16"/>
      <c r="Z39" s="16">
        <v>0</v>
      </c>
      <c r="AA39" s="16"/>
      <c r="AB39" s="4"/>
      <c r="AC39" s="42">
        <f t="shared" si="0"/>
        <v>-2.5894999999999531</v>
      </c>
    </row>
    <row r="40" spans="1:29" ht="16.5" thickBot="1">
      <c r="A40" s="1" t="s">
        <v>29</v>
      </c>
      <c r="B40" s="36" t="s">
        <v>123</v>
      </c>
      <c r="C40" s="16"/>
      <c r="D40" s="16" t="s">
        <v>202</v>
      </c>
      <c r="E40" s="16"/>
      <c r="F40" s="16" t="s">
        <v>202</v>
      </c>
      <c r="G40" s="16"/>
      <c r="H40" s="16" t="s">
        <v>202</v>
      </c>
      <c r="I40" s="16"/>
      <c r="J40" s="16" t="s">
        <v>202</v>
      </c>
      <c r="K40" s="16"/>
      <c r="L40" s="16">
        <v>638.01</v>
      </c>
      <c r="M40" s="16"/>
      <c r="N40" s="16">
        <v>834.96</v>
      </c>
      <c r="O40" s="16">
        <f>-638.01-834.96</f>
        <v>-1472.97</v>
      </c>
      <c r="P40" s="16">
        <v>923.61</v>
      </c>
      <c r="Q40" s="16"/>
      <c r="R40" s="16">
        <v>1036.02</v>
      </c>
      <c r="S40" s="16">
        <f>-923.61-1036.2</f>
        <v>-1959.81</v>
      </c>
      <c r="T40" s="16">
        <v>2047.8131999999987</v>
      </c>
      <c r="U40" s="16"/>
      <c r="V40" s="16">
        <v>575.26060000000018</v>
      </c>
      <c r="W40" s="16">
        <v>-2047.81</v>
      </c>
      <c r="X40" s="16">
        <v>0</v>
      </c>
      <c r="Y40" s="16"/>
      <c r="Z40" s="16">
        <v>0</v>
      </c>
      <c r="AA40" s="16"/>
      <c r="AB40" s="4"/>
      <c r="AC40" s="42">
        <f t="shared" si="0"/>
        <v>575.08379999999897</v>
      </c>
    </row>
    <row r="41" spans="1:29" ht="16.5" thickBot="1">
      <c r="A41" s="48" t="s">
        <v>30</v>
      </c>
      <c r="B41" s="47" t="s">
        <v>124</v>
      </c>
      <c r="C41" s="46"/>
      <c r="D41" s="46" t="s">
        <v>202</v>
      </c>
      <c r="E41" s="46"/>
      <c r="F41" s="46" t="s">
        <v>202</v>
      </c>
      <c r="G41" s="46"/>
      <c r="H41" s="46" t="s">
        <v>202</v>
      </c>
      <c r="I41" s="46"/>
      <c r="J41" s="46" t="s">
        <v>202</v>
      </c>
      <c r="K41" s="46"/>
      <c r="L41" s="46">
        <v>61.41</v>
      </c>
      <c r="M41" s="46"/>
      <c r="N41" s="46">
        <v>330.7</v>
      </c>
      <c r="O41" s="46">
        <v>-410.41</v>
      </c>
      <c r="P41" s="46">
        <v>490.9</v>
      </c>
      <c r="Q41" s="46">
        <v>-821.6</v>
      </c>
      <c r="R41" s="46">
        <v>568.76</v>
      </c>
      <c r="S41" s="46">
        <v>-568.76</v>
      </c>
      <c r="T41" s="46">
        <v>519.61389999999972</v>
      </c>
      <c r="U41" s="46"/>
      <c r="V41" s="46"/>
      <c r="W41" s="46">
        <v>-519.61</v>
      </c>
      <c r="X41" s="46"/>
      <c r="Y41" s="46"/>
      <c r="Z41" s="46"/>
      <c r="AA41" s="46"/>
      <c r="AB41" s="45"/>
      <c r="AC41" s="42">
        <f t="shared" si="0"/>
        <v>-348.99610000000035</v>
      </c>
    </row>
    <row r="42" spans="1:29" ht="16.5" thickBot="1">
      <c r="A42" s="1" t="s">
        <v>31</v>
      </c>
      <c r="B42" s="36" t="s">
        <v>125</v>
      </c>
      <c r="C42" s="16"/>
      <c r="D42" s="16">
        <v>12.71</v>
      </c>
      <c r="E42" s="16"/>
      <c r="F42" s="16">
        <v>11.27</v>
      </c>
      <c r="G42" s="16"/>
      <c r="H42" s="16">
        <v>10.93</v>
      </c>
      <c r="I42" s="16"/>
      <c r="J42" s="16">
        <v>39.770000000000003</v>
      </c>
      <c r="K42" s="16"/>
      <c r="L42" s="16">
        <v>272.35000000000002</v>
      </c>
      <c r="M42" s="16"/>
      <c r="N42" s="16">
        <v>295.23</v>
      </c>
      <c r="O42" s="16"/>
      <c r="P42" s="16">
        <v>282.88</v>
      </c>
      <c r="Q42" s="16">
        <v>-2845</v>
      </c>
      <c r="R42" s="16">
        <v>257.38</v>
      </c>
      <c r="S42" s="16"/>
      <c r="T42" s="16">
        <v>516.70390000000145</v>
      </c>
      <c r="U42" s="16"/>
      <c r="V42" s="16">
        <v>1090.7537999999984</v>
      </c>
      <c r="W42" s="16"/>
      <c r="X42" s="16">
        <v>347.3641999999997</v>
      </c>
      <c r="Y42" s="16"/>
      <c r="Z42" s="16">
        <v>8.8487000000007452</v>
      </c>
      <c r="AA42" s="16"/>
      <c r="AB42" s="4"/>
      <c r="AC42" s="42">
        <f t="shared" si="0"/>
        <v>301.19060000000013</v>
      </c>
    </row>
    <row r="43" spans="1:29" ht="16.5" thickBot="1">
      <c r="A43" s="1" t="s">
        <v>32</v>
      </c>
      <c r="B43" s="36" t="s">
        <v>126</v>
      </c>
      <c r="C43" s="16"/>
      <c r="D43" s="16">
        <v>10.11</v>
      </c>
      <c r="E43" s="16"/>
      <c r="F43" s="16">
        <v>10.07</v>
      </c>
      <c r="G43" s="16"/>
      <c r="H43" s="16">
        <v>9.1</v>
      </c>
      <c r="I43" s="16"/>
      <c r="J43" s="16">
        <v>90.84</v>
      </c>
      <c r="K43" s="16">
        <f>-9.69-120.12</f>
        <v>-129.81</v>
      </c>
      <c r="L43" s="16">
        <v>308.27</v>
      </c>
      <c r="M43" s="16"/>
      <c r="N43" s="16">
        <v>1110.8</v>
      </c>
      <c r="O43" s="16">
        <f>-308.27-1110.8</f>
        <v>-1419.07</v>
      </c>
      <c r="P43" s="16">
        <v>1285.1099999999999</v>
      </c>
      <c r="Q43" s="16">
        <v>-1285.1099999999999</v>
      </c>
      <c r="R43" s="16">
        <v>1381.98</v>
      </c>
      <c r="S43" s="16">
        <v>-1381.98</v>
      </c>
      <c r="T43" s="16">
        <v>1261.7059000000017</v>
      </c>
      <c r="U43" s="16">
        <v>-1261.71</v>
      </c>
      <c r="V43" s="16">
        <v>835.53909999999701</v>
      </c>
      <c r="W43" s="16">
        <v>-835.54</v>
      </c>
      <c r="X43" s="16">
        <v>13.907999999999355</v>
      </c>
      <c r="Y43" s="16"/>
      <c r="Z43" s="16">
        <v>10.656500000002719</v>
      </c>
      <c r="AA43" s="16"/>
      <c r="AB43" s="4"/>
      <c r="AC43" s="42">
        <f t="shared" ref="AC43:AC74" si="1">SUM(C43:AB43)</f>
        <v>14.869500000000773</v>
      </c>
    </row>
    <row r="44" spans="1:29" ht="16.5" thickBot="1">
      <c r="A44" s="48" t="s">
        <v>33</v>
      </c>
      <c r="B44" s="47" t="s">
        <v>127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5"/>
      <c r="AC44" s="42">
        <f t="shared" si="1"/>
        <v>0</v>
      </c>
    </row>
    <row r="45" spans="1:29" ht="16.5" thickBot="1">
      <c r="A45" s="1" t="s">
        <v>34</v>
      </c>
      <c r="B45" s="36" t="s">
        <v>128</v>
      </c>
      <c r="C45" s="16"/>
      <c r="D45" s="16">
        <v>12180.38</v>
      </c>
      <c r="E45" s="16"/>
      <c r="F45" s="16">
        <v>6692.97</v>
      </c>
      <c r="G45" s="16">
        <f>-548.79-5826.28-6354.1-6692.97</f>
        <v>-19422.14</v>
      </c>
      <c r="H45" s="16">
        <v>3797.59</v>
      </c>
      <c r="I45" s="16"/>
      <c r="J45" s="16">
        <v>5287.96</v>
      </c>
      <c r="K45" s="16">
        <v>-3797.59</v>
      </c>
      <c r="L45" s="16">
        <v>3111.92</v>
      </c>
      <c r="M45" s="16">
        <f>-3111.92-5287.96</f>
        <v>-8399.880000000001</v>
      </c>
      <c r="N45" s="16">
        <v>2748.84</v>
      </c>
      <c r="O45" s="16">
        <v>-2748.84</v>
      </c>
      <c r="P45" s="16">
        <v>3059</v>
      </c>
      <c r="Q45" s="16"/>
      <c r="R45" s="16">
        <v>3345.25</v>
      </c>
      <c r="S45" s="16">
        <f>-2748.84-3059-3345.25</f>
        <v>-9153.09</v>
      </c>
      <c r="T45" s="16">
        <v>5710.589099999982</v>
      </c>
      <c r="U45" s="16">
        <v>-5710.59</v>
      </c>
      <c r="V45" s="16">
        <v>3948.3370000000332</v>
      </c>
      <c r="W45" s="16">
        <v>-3948.34</v>
      </c>
      <c r="X45" s="16">
        <v>5154.4454999999907</v>
      </c>
      <c r="Y45" s="16">
        <v>-5154.45</v>
      </c>
      <c r="Z45" s="16">
        <v>14622.72099999998</v>
      </c>
      <c r="AA45" s="16">
        <v>-14622.72</v>
      </c>
      <c r="AB45" s="4"/>
      <c r="AC45" s="42">
        <f t="shared" si="1"/>
        <v>-3297.637400000016</v>
      </c>
    </row>
    <row r="46" spans="1:29" ht="16.5" thickBot="1">
      <c r="A46" s="1" t="s">
        <v>191</v>
      </c>
      <c r="B46" s="36" t="s">
        <v>190</v>
      </c>
      <c r="C46" s="16"/>
      <c r="D46" s="16">
        <v>4.07</v>
      </c>
      <c r="E46" s="16"/>
      <c r="F46" s="16">
        <v>4.04</v>
      </c>
      <c r="G46" s="16"/>
      <c r="H46" s="16">
        <v>3.7</v>
      </c>
      <c r="I46" s="16"/>
      <c r="J46" s="16">
        <v>4.04</v>
      </c>
      <c r="K46" s="16"/>
      <c r="L46" s="16">
        <v>3.97</v>
      </c>
      <c r="M46" s="16"/>
      <c r="N46" s="16">
        <v>236.54</v>
      </c>
      <c r="O46" s="16"/>
      <c r="P46" s="16">
        <v>423.42</v>
      </c>
      <c r="Q46" s="16"/>
      <c r="R46" s="16">
        <v>654.25</v>
      </c>
      <c r="S46" s="16"/>
      <c r="T46" s="16">
        <v>377.07039999999955</v>
      </c>
      <c r="U46" s="16">
        <v>-8000</v>
      </c>
      <c r="V46" s="16">
        <v>1155.5850000000009</v>
      </c>
      <c r="W46" s="16"/>
      <c r="X46" s="16">
        <v>23.850300000000281</v>
      </c>
      <c r="Y46" s="16"/>
      <c r="Z46" s="16">
        <v>4.2627999999977284</v>
      </c>
      <c r="AA46" s="16"/>
      <c r="AB46" s="4"/>
      <c r="AC46" s="42">
        <f t="shared" si="1"/>
        <v>-5105.2015000000019</v>
      </c>
    </row>
    <row r="47" spans="1:29" ht="16.5" thickBot="1">
      <c r="A47" s="1" t="s">
        <v>35</v>
      </c>
      <c r="B47" s="36" t="s">
        <v>171</v>
      </c>
      <c r="C47" s="16">
        <v>54</v>
      </c>
      <c r="D47" s="16" t="s">
        <v>202</v>
      </c>
      <c r="E47" s="16"/>
      <c r="F47" s="16" t="s">
        <v>202</v>
      </c>
      <c r="G47" s="16"/>
      <c r="H47" s="16" t="s">
        <v>202</v>
      </c>
      <c r="I47" s="16"/>
      <c r="J47" s="16" t="s">
        <v>202</v>
      </c>
      <c r="K47" s="16"/>
      <c r="L47" s="16">
        <v>0.14000000000000001</v>
      </c>
      <c r="M47" s="16"/>
      <c r="N47" s="16">
        <v>1.1000000000000001</v>
      </c>
      <c r="O47" s="16"/>
      <c r="P47" s="16">
        <v>36.61</v>
      </c>
      <c r="Q47" s="16"/>
      <c r="R47" s="16">
        <v>33.119999999999997</v>
      </c>
      <c r="S47" s="16"/>
      <c r="T47" s="16">
        <v>135.06709999999995</v>
      </c>
      <c r="U47" s="16"/>
      <c r="V47" s="16">
        <v>352.42439999999999</v>
      </c>
      <c r="W47" s="16"/>
      <c r="X47" s="16">
        <v>0</v>
      </c>
      <c r="Y47" s="16"/>
      <c r="Z47" s="16">
        <v>0</v>
      </c>
      <c r="AA47" s="16"/>
      <c r="AB47" s="4"/>
      <c r="AC47" s="42">
        <f t="shared" si="1"/>
        <v>612.46149999999989</v>
      </c>
    </row>
    <row r="48" spans="1:29" ht="16.5" thickBot="1">
      <c r="A48" s="1" t="s">
        <v>36</v>
      </c>
      <c r="B48" s="36" t="s">
        <v>172</v>
      </c>
      <c r="C48" s="16"/>
      <c r="D48" s="16">
        <v>24936.99</v>
      </c>
      <c r="E48" s="16">
        <v>-73000</v>
      </c>
      <c r="F48" s="16">
        <v>26182.91</v>
      </c>
      <c r="G48" s="16"/>
      <c r="H48" s="16">
        <v>23886.31</v>
      </c>
      <c r="I48" s="16">
        <v>-32000</v>
      </c>
      <c r="J48" s="16">
        <v>26472.48</v>
      </c>
      <c r="K48" s="16">
        <f>-24000-26500</f>
        <v>-50500</v>
      </c>
      <c r="L48" s="16">
        <v>16070.1</v>
      </c>
      <c r="M48" s="16">
        <v>-16100</v>
      </c>
      <c r="N48" s="16">
        <v>6203.63</v>
      </c>
      <c r="O48" s="16">
        <v>-6210</v>
      </c>
      <c r="P48" s="16">
        <v>3550.07</v>
      </c>
      <c r="Q48" s="16">
        <v>-3550</v>
      </c>
      <c r="R48" s="16">
        <v>5499.55</v>
      </c>
      <c r="S48" s="16">
        <v>-5500</v>
      </c>
      <c r="T48" s="16">
        <v>5256.8249000000033</v>
      </c>
      <c r="U48" s="16">
        <v>-5300</v>
      </c>
      <c r="V48" s="16">
        <v>10184.791099999986</v>
      </c>
      <c r="W48" s="16">
        <v>-10200</v>
      </c>
      <c r="X48" s="16">
        <v>12561.716700000019</v>
      </c>
      <c r="Y48" s="16">
        <v>-12570</v>
      </c>
      <c r="Z48" s="16">
        <v>3410.2614999999714</v>
      </c>
      <c r="AA48" s="16">
        <v>-3412</v>
      </c>
      <c r="AB48" s="4"/>
      <c r="AC48" s="42">
        <f t="shared" si="1"/>
        <v>-54126.365800000021</v>
      </c>
    </row>
    <row r="49" spans="1:29" ht="16.5" thickBot="1">
      <c r="A49" s="1" t="s">
        <v>37</v>
      </c>
      <c r="B49" s="36" t="s">
        <v>129</v>
      </c>
      <c r="C49" s="16"/>
      <c r="D49" s="16">
        <v>11.8</v>
      </c>
      <c r="E49" s="16"/>
      <c r="F49" s="16">
        <v>11.67</v>
      </c>
      <c r="G49" s="16"/>
      <c r="H49" s="16">
        <v>10.54</v>
      </c>
      <c r="I49" s="16"/>
      <c r="J49" s="16">
        <v>11.69</v>
      </c>
      <c r="K49" s="16"/>
      <c r="L49" s="16">
        <v>260.51</v>
      </c>
      <c r="M49" s="16"/>
      <c r="N49" s="16">
        <v>395.51</v>
      </c>
      <c r="O49" s="16">
        <v>-211.86</v>
      </c>
      <c r="P49" s="16">
        <v>539.67999999999995</v>
      </c>
      <c r="Q49" s="16">
        <v>-1108</v>
      </c>
      <c r="R49" s="16">
        <v>585.79</v>
      </c>
      <c r="S49" s="16"/>
      <c r="T49" s="16">
        <v>803.57229999999947</v>
      </c>
      <c r="U49" s="16">
        <v>-585.79</v>
      </c>
      <c r="V49" s="16">
        <v>618.48079999999948</v>
      </c>
      <c r="W49" s="16"/>
      <c r="X49" s="16">
        <v>93.351900000000569</v>
      </c>
      <c r="Y49" s="16">
        <v>-1503.5700000000002</v>
      </c>
      <c r="Z49" s="16">
        <v>12.523899999999822</v>
      </c>
      <c r="AA49" s="16"/>
      <c r="AB49" s="4"/>
      <c r="AC49" s="42">
        <f t="shared" si="1"/>
        <v>-54.10110000000109</v>
      </c>
    </row>
    <row r="50" spans="1:29" ht="16.5" thickBot="1">
      <c r="A50" s="1" t="s">
        <v>38</v>
      </c>
      <c r="B50" s="36" t="s">
        <v>130</v>
      </c>
      <c r="C50" s="16"/>
      <c r="D50" s="16" t="s">
        <v>202</v>
      </c>
      <c r="E50" s="16"/>
      <c r="F50" s="16" t="s">
        <v>202</v>
      </c>
      <c r="G50" s="16"/>
      <c r="H50" s="16" t="s">
        <v>202</v>
      </c>
      <c r="I50" s="16"/>
      <c r="J50" s="16" t="s">
        <v>202</v>
      </c>
      <c r="K50" s="16"/>
      <c r="L50" s="16" t="s">
        <v>202</v>
      </c>
      <c r="M50" s="16"/>
      <c r="N50" s="16" t="s">
        <v>202</v>
      </c>
      <c r="O50" s="16"/>
      <c r="P50" s="16">
        <v>190</v>
      </c>
      <c r="Q50" s="16"/>
      <c r="R50" s="16">
        <v>331.67</v>
      </c>
      <c r="S50" s="16"/>
      <c r="T50" s="16">
        <v>101.59659999999961</v>
      </c>
      <c r="U50" s="16"/>
      <c r="V50" s="16">
        <v>0.63240000000002394</v>
      </c>
      <c r="W50" s="16">
        <v>-2100</v>
      </c>
      <c r="X50" s="16">
        <v>11.047900000000364</v>
      </c>
      <c r="Y50" s="16"/>
      <c r="Z50" s="16">
        <v>0</v>
      </c>
      <c r="AA50" s="16"/>
      <c r="AB50" s="4"/>
      <c r="AC50" s="42">
        <f t="shared" si="1"/>
        <v>-1465.0530999999999</v>
      </c>
    </row>
    <row r="51" spans="1:29" ht="16.5" thickBot="1">
      <c r="A51" s="1" t="s">
        <v>39</v>
      </c>
      <c r="B51" s="36" t="s">
        <v>131</v>
      </c>
      <c r="C51" s="16"/>
      <c r="D51" s="16">
        <v>3.32</v>
      </c>
      <c r="E51" s="16"/>
      <c r="F51" s="16">
        <v>3.35</v>
      </c>
      <c r="G51" s="16"/>
      <c r="H51" s="16">
        <v>2.93</v>
      </c>
      <c r="I51" s="16"/>
      <c r="J51" s="16">
        <v>3.38</v>
      </c>
      <c r="K51" s="16"/>
      <c r="L51" s="16">
        <v>3.2</v>
      </c>
      <c r="M51" s="16"/>
      <c r="N51" s="16">
        <v>3.22</v>
      </c>
      <c r="O51" s="16"/>
      <c r="P51" s="16">
        <v>3.51</v>
      </c>
      <c r="Q51" s="16"/>
      <c r="R51" s="16">
        <v>3.54</v>
      </c>
      <c r="S51" s="16"/>
      <c r="T51" s="16">
        <v>3.8044000000000189</v>
      </c>
      <c r="U51" s="16"/>
      <c r="V51" s="16">
        <v>3.3996999999999868</v>
      </c>
      <c r="W51" s="16"/>
      <c r="X51" s="16">
        <v>3.5757000000000021</v>
      </c>
      <c r="Y51" s="16"/>
      <c r="Z51" s="16">
        <v>3.4524000000000137</v>
      </c>
      <c r="AA51" s="16"/>
      <c r="AB51" s="4"/>
      <c r="AC51" s="42">
        <f t="shared" si="1"/>
        <v>40.682200000000016</v>
      </c>
    </row>
    <row r="52" spans="1:29" ht="16.5" thickBot="1">
      <c r="A52" s="1" t="s">
        <v>40</v>
      </c>
      <c r="B52" s="36" t="s">
        <v>132</v>
      </c>
      <c r="C52" s="16"/>
      <c r="D52" s="16">
        <v>4.12</v>
      </c>
      <c r="E52" s="16"/>
      <c r="F52" s="16">
        <v>4.12</v>
      </c>
      <c r="G52" s="16"/>
      <c r="H52" s="16">
        <v>3.76</v>
      </c>
      <c r="I52" s="16"/>
      <c r="J52" s="16">
        <v>4.1500000000000004</v>
      </c>
      <c r="K52" s="16"/>
      <c r="L52" s="16">
        <v>340.67</v>
      </c>
      <c r="M52" s="16"/>
      <c r="N52" s="16">
        <v>1547.45</v>
      </c>
      <c r="O52" s="16"/>
      <c r="P52" s="16">
        <v>2049.3000000000002</v>
      </c>
      <c r="Q52" s="16"/>
      <c r="R52" s="16">
        <v>2404.31</v>
      </c>
      <c r="S52" s="16">
        <v>-4906.2</v>
      </c>
      <c r="T52" s="16">
        <v>983.26579999999876</v>
      </c>
      <c r="U52" s="16"/>
      <c r="V52" s="16">
        <v>210.63500000000138</v>
      </c>
      <c r="W52" s="16"/>
      <c r="X52" s="16">
        <v>4.6326999999999918</v>
      </c>
      <c r="Y52" s="16">
        <v>-2404.31</v>
      </c>
      <c r="Z52" s="16">
        <v>4.3681999999978354</v>
      </c>
      <c r="AA52" s="16"/>
      <c r="AB52" s="4"/>
      <c r="AC52" s="42">
        <f t="shared" si="1"/>
        <v>250.27169999999865</v>
      </c>
    </row>
    <row r="53" spans="1:29" ht="16.5" thickBot="1">
      <c r="A53" s="1" t="s">
        <v>41</v>
      </c>
      <c r="B53" s="36" t="s">
        <v>133</v>
      </c>
      <c r="C53" s="16"/>
      <c r="D53" s="16">
        <v>2879.05</v>
      </c>
      <c r="E53" s="16">
        <v>-2879.05</v>
      </c>
      <c r="F53" s="16">
        <v>30.96</v>
      </c>
      <c r="G53" s="16"/>
      <c r="H53" s="16">
        <v>17.29</v>
      </c>
      <c r="I53" s="16"/>
      <c r="J53" s="16">
        <v>31.73</v>
      </c>
      <c r="K53" s="16"/>
      <c r="L53" s="16">
        <v>1406.41</v>
      </c>
      <c r="M53" s="16"/>
      <c r="N53" s="16">
        <v>1213.1300000000001</v>
      </c>
      <c r="O53" s="16">
        <v>-2699.52</v>
      </c>
      <c r="P53" s="16">
        <v>1254.03</v>
      </c>
      <c r="Q53" s="16"/>
      <c r="R53" s="16">
        <v>1528.74</v>
      </c>
      <c r="S53" s="16">
        <v>-2782.77</v>
      </c>
      <c r="T53" s="16">
        <v>2754.4295000000002</v>
      </c>
      <c r="U53" s="16"/>
      <c r="V53" s="16">
        <v>5511.778900000003</v>
      </c>
      <c r="W53" s="16"/>
      <c r="X53" s="16">
        <v>4381.8382999999958</v>
      </c>
      <c r="Y53" s="16">
        <v>-8266.2099999999991</v>
      </c>
      <c r="Z53" s="16">
        <v>2766.5372000000034</v>
      </c>
      <c r="AA53" s="16">
        <v>-4382</v>
      </c>
      <c r="AB53" s="4"/>
      <c r="AC53" s="42">
        <f t="shared" si="1"/>
        <v>2766.3739000000032</v>
      </c>
    </row>
    <row r="54" spans="1:29" ht="16.5" thickBot="1">
      <c r="A54" s="1" t="s">
        <v>42</v>
      </c>
      <c r="B54" s="36" t="s">
        <v>134</v>
      </c>
      <c r="C54" s="16"/>
      <c r="D54" s="16">
        <v>3.89</v>
      </c>
      <c r="E54" s="16"/>
      <c r="F54" s="16">
        <v>3.91</v>
      </c>
      <c r="G54" s="16"/>
      <c r="H54" s="16">
        <v>3.51</v>
      </c>
      <c r="I54" s="16"/>
      <c r="J54" s="16">
        <v>3.92</v>
      </c>
      <c r="K54" s="16"/>
      <c r="L54" s="16">
        <v>3.76</v>
      </c>
      <c r="M54" s="16"/>
      <c r="N54" s="16">
        <v>467.06</v>
      </c>
      <c r="O54" s="16"/>
      <c r="P54" s="16">
        <v>522.16</v>
      </c>
      <c r="Q54" s="16"/>
      <c r="R54" s="16">
        <v>730.52</v>
      </c>
      <c r="S54" s="16">
        <v>-5000</v>
      </c>
      <c r="T54" s="16">
        <v>199.55029999999817</v>
      </c>
      <c r="U54" s="16">
        <v>-3500</v>
      </c>
      <c r="V54" s="16">
        <v>364.9206000000018</v>
      </c>
      <c r="W54" s="16"/>
      <c r="X54" s="16">
        <v>4.3154999999940857</v>
      </c>
      <c r="Y54" s="16"/>
      <c r="Z54" s="16">
        <v>4.1922000000017938</v>
      </c>
      <c r="AA54" s="16"/>
      <c r="AB54" s="4"/>
      <c r="AC54" s="42">
        <f t="shared" si="1"/>
        <v>-6188.2914000000028</v>
      </c>
    </row>
    <row r="55" spans="1:29" ht="16.5" thickBot="1">
      <c r="A55" s="1" t="s">
        <v>43</v>
      </c>
      <c r="B55" s="36" t="s">
        <v>135</v>
      </c>
      <c r="C55" s="16"/>
      <c r="D55" s="16">
        <v>0.67</v>
      </c>
      <c r="E55" s="16"/>
      <c r="F55" s="16">
        <v>0.56000000000000005</v>
      </c>
      <c r="G55" s="16"/>
      <c r="H55" s="16">
        <v>0.51</v>
      </c>
      <c r="I55" s="16"/>
      <c r="J55" s="16">
        <v>0.51</v>
      </c>
      <c r="K55" s="16"/>
      <c r="L55" s="16">
        <v>0.5</v>
      </c>
      <c r="M55" s="16"/>
      <c r="N55" s="16">
        <v>198.35</v>
      </c>
      <c r="O55" s="16"/>
      <c r="P55" s="16">
        <v>324.12</v>
      </c>
      <c r="Q55" s="16"/>
      <c r="R55" s="16">
        <v>372.76</v>
      </c>
      <c r="S55" s="16"/>
      <c r="T55" s="16">
        <v>203.30999999999992</v>
      </c>
      <c r="U55" s="16"/>
      <c r="V55" s="16">
        <v>2.6718000000000681</v>
      </c>
      <c r="W55" s="16">
        <v>-1099.04</v>
      </c>
      <c r="X55" s="16">
        <v>0.68710000000002502</v>
      </c>
      <c r="Y55" s="16"/>
      <c r="Z55" s="16">
        <v>0.66920000000009217</v>
      </c>
      <c r="AA55" s="16"/>
      <c r="AB55" s="4"/>
      <c r="AC55" s="42">
        <f t="shared" si="1"/>
        <v>6.278100000000193</v>
      </c>
    </row>
    <row r="56" spans="1:29" ht="16.5" thickBot="1">
      <c r="A56" s="48" t="s">
        <v>44</v>
      </c>
      <c r="B56" s="47" t="s">
        <v>136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>
        <v>-380</v>
      </c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5"/>
      <c r="AC56" s="42">
        <f t="shared" si="1"/>
        <v>-380</v>
      </c>
    </row>
    <row r="57" spans="1:29" ht="16.5" thickBot="1">
      <c r="A57" s="1" t="s">
        <v>45</v>
      </c>
      <c r="B57" s="36" t="s">
        <v>137</v>
      </c>
      <c r="C57" s="16"/>
      <c r="D57" s="16" t="s">
        <v>202</v>
      </c>
      <c r="E57" s="16"/>
      <c r="F57" s="16" t="s">
        <v>202</v>
      </c>
      <c r="G57" s="16"/>
      <c r="H57" s="16" t="s">
        <v>202</v>
      </c>
      <c r="I57" s="16"/>
      <c r="J57" s="16" t="s">
        <v>202</v>
      </c>
      <c r="K57" s="16"/>
      <c r="L57" s="16">
        <v>458.7</v>
      </c>
      <c r="M57" s="16"/>
      <c r="N57" s="16">
        <v>1155.6300000000001</v>
      </c>
      <c r="O57" s="16">
        <f>-458.7-1155.63</f>
        <v>-1614.3300000000002</v>
      </c>
      <c r="P57" s="16">
        <v>534.20000000000005</v>
      </c>
      <c r="Q57" s="16"/>
      <c r="R57" s="16">
        <v>614.39</v>
      </c>
      <c r="S57" s="16">
        <f>-534.2-614.39</f>
        <v>-1148.5900000000001</v>
      </c>
      <c r="T57" s="16">
        <v>279.17939999999686</v>
      </c>
      <c r="U57" s="16"/>
      <c r="V57" s="16">
        <v>1.4427999999994789</v>
      </c>
      <c r="W57" s="16">
        <v>-279.18</v>
      </c>
      <c r="X57" s="16">
        <v>0</v>
      </c>
      <c r="Y57" s="16"/>
      <c r="Z57" s="16">
        <v>0</v>
      </c>
      <c r="AA57" s="16"/>
      <c r="AB57" s="4"/>
      <c r="AC57" s="42">
        <f t="shared" si="1"/>
        <v>1.4421999999963191</v>
      </c>
    </row>
    <row r="58" spans="1:29" ht="16.5" thickBot="1">
      <c r="A58" s="1" t="s">
        <v>46</v>
      </c>
      <c r="B58" s="36" t="s">
        <v>138</v>
      </c>
      <c r="C58" s="16"/>
      <c r="D58" s="16" t="s">
        <v>202</v>
      </c>
      <c r="E58" s="16"/>
      <c r="F58" s="16" t="s">
        <v>202</v>
      </c>
      <c r="G58" s="16"/>
      <c r="H58" s="16" t="s">
        <v>202</v>
      </c>
      <c r="I58" s="16"/>
      <c r="J58" s="16" t="s">
        <v>202</v>
      </c>
      <c r="K58" s="16"/>
      <c r="L58" s="16" t="s">
        <v>202</v>
      </c>
      <c r="M58" s="16"/>
      <c r="N58" s="16">
        <v>376.1</v>
      </c>
      <c r="O58" s="16"/>
      <c r="P58" s="16">
        <v>609.67999999999995</v>
      </c>
      <c r="Q58" s="16"/>
      <c r="R58" s="16">
        <v>938.28</v>
      </c>
      <c r="S58" s="16">
        <f>-376.1-609.68-938.28</f>
        <v>-1924.06</v>
      </c>
      <c r="T58" s="16">
        <v>401.77030000000025</v>
      </c>
      <c r="U58" s="16"/>
      <c r="V58" s="16">
        <v>0</v>
      </c>
      <c r="W58" s="16">
        <v>-403</v>
      </c>
      <c r="X58" s="16">
        <v>0</v>
      </c>
      <c r="Y58" s="16"/>
      <c r="Z58" s="16">
        <v>0</v>
      </c>
      <c r="AA58" s="16"/>
      <c r="AB58" s="4"/>
      <c r="AC58" s="42">
        <f t="shared" si="1"/>
        <v>-1.2296999999997524</v>
      </c>
    </row>
    <row r="59" spans="1:29" ht="16.5" thickBot="1">
      <c r="A59" s="1" t="s">
        <v>47</v>
      </c>
      <c r="B59" s="36" t="s">
        <v>139</v>
      </c>
      <c r="C59" s="16"/>
      <c r="D59" s="16">
        <v>15.78</v>
      </c>
      <c r="E59" s="16"/>
      <c r="F59" s="16">
        <v>12.43</v>
      </c>
      <c r="G59" s="16"/>
      <c r="H59" s="16">
        <v>219.65</v>
      </c>
      <c r="I59" s="16"/>
      <c r="J59" s="16">
        <v>656.21</v>
      </c>
      <c r="K59" s="16"/>
      <c r="L59" s="16">
        <v>131.31</v>
      </c>
      <c r="M59" s="16">
        <v>-2352.38</v>
      </c>
      <c r="N59" s="16">
        <v>456.72</v>
      </c>
      <c r="O59" s="16"/>
      <c r="P59" s="16">
        <v>1181.97</v>
      </c>
      <c r="Q59" s="16"/>
      <c r="R59" s="16">
        <v>1175.3499999999999</v>
      </c>
      <c r="S59" s="16">
        <v>-1638</v>
      </c>
      <c r="T59" s="16">
        <v>1183.1638999999996</v>
      </c>
      <c r="U59" s="16"/>
      <c r="V59" s="16">
        <v>421.66870000000029</v>
      </c>
      <c r="W59" s="16">
        <v>-1176</v>
      </c>
      <c r="X59" s="16">
        <v>203.44099999999983</v>
      </c>
      <c r="Y59" s="16"/>
      <c r="Z59" s="16">
        <v>84.953700000000822</v>
      </c>
      <c r="AA59" s="16">
        <v>-3085.55</v>
      </c>
      <c r="AB59" s="4"/>
      <c r="AC59" s="42">
        <f t="shared" si="1"/>
        <v>-2509.2826999999997</v>
      </c>
    </row>
    <row r="60" spans="1:29" ht="16.5" thickBot="1">
      <c r="A60" s="1" t="s">
        <v>48</v>
      </c>
      <c r="B60" s="36" t="s">
        <v>140</v>
      </c>
      <c r="C60" s="16"/>
      <c r="D60" s="16">
        <v>3.88</v>
      </c>
      <c r="E60" s="16"/>
      <c r="F60" s="16">
        <v>3.83</v>
      </c>
      <c r="G60" s="16"/>
      <c r="H60" s="16">
        <v>3.43</v>
      </c>
      <c r="I60" s="16"/>
      <c r="J60" s="16">
        <v>3.76</v>
      </c>
      <c r="K60" s="16"/>
      <c r="L60" s="16">
        <v>14.14</v>
      </c>
      <c r="M60" s="16"/>
      <c r="N60" s="16">
        <v>435.71</v>
      </c>
      <c r="O60" s="16"/>
      <c r="P60" s="16">
        <v>970.16</v>
      </c>
      <c r="Q60" s="16">
        <v>-970.16</v>
      </c>
      <c r="R60" s="16">
        <v>985.02</v>
      </c>
      <c r="S60" s="16">
        <v>-985.02</v>
      </c>
      <c r="T60" s="16">
        <v>353.41779999999989</v>
      </c>
      <c r="U60" s="16">
        <v>-353.42</v>
      </c>
      <c r="V60" s="16">
        <v>5.0702000000017859</v>
      </c>
      <c r="W60" s="16">
        <v>-1555</v>
      </c>
      <c r="X60" s="16">
        <v>4.5790000000000406</v>
      </c>
      <c r="Y60" s="16"/>
      <c r="Z60" s="16">
        <v>4.5253000000000894</v>
      </c>
      <c r="AA60" s="16"/>
      <c r="AB60" s="4"/>
      <c r="AC60" s="42">
        <f t="shared" si="1"/>
        <v>-1076.0776999999985</v>
      </c>
    </row>
    <row r="61" spans="1:29" ht="16.5" thickBot="1">
      <c r="A61" s="1" t="s">
        <v>49</v>
      </c>
      <c r="B61" s="36" t="s">
        <v>141</v>
      </c>
      <c r="C61" s="16"/>
      <c r="D61" s="16" t="s">
        <v>202</v>
      </c>
      <c r="E61" s="16"/>
      <c r="F61" s="16" t="s">
        <v>202</v>
      </c>
      <c r="G61" s="16"/>
      <c r="H61" s="16" t="s">
        <v>202</v>
      </c>
      <c r="I61" s="16"/>
      <c r="J61" s="16" t="s">
        <v>202</v>
      </c>
      <c r="K61" s="16"/>
      <c r="L61" s="16">
        <v>5.51</v>
      </c>
      <c r="M61" s="16"/>
      <c r="N61" s="16">
        <v>14.99</v>
      </c>
      <c r="O61" s="16">
        <v>-51.01</v>
      </c>
      <c r="P61" s="16">
        <v>74.790000000000006</v>
      </c>
      <c r="Q61" s="16"/>
      <c r="R61" s="16">
        <v>150.66</v>
      </c>
      <c r="S61" s="16"/>
      <c r="T61" s="16">
        <v>119.01450000000003</v>
      </c>
      <c r="U61" s="16"/>
      <c r="V61" s="16">
        <v>98.878599999999977</v>
      </c>
      <c r="W61" s="16"/>
      <c r="X61" s="16">
        <v>22.363700000000019</v>
      </c>
      <c r="Y61" s="16"/>
      <c r="Z61" s="16">
        <v>113.28450000000004</v>
      </c>
      <c r="AA61" s="16"/>
      <c r="AB61" s="4"/>
      <c r="AC61" s="42">
        <f t="shared" si="1"/>
        <v>548.48130000000015</v>
      </c>
    </row>
    <row r="62" spans="1:29" ht="16.5" thickBot="1">
      <c r="A62" s="1" t="s">
        <v>50</v>
      </c>
      <c r="B62" s="36" t="s">
        <v>188</v>
      </c>
      <c r="C62" s="16">
        <v>441</v>
      </c>
      <c r="D62" s="16">
        <v>8.14</v>
      </c>
      <c r="E62" s="16"/>
      <c r="F62" s="16">
        <v>8.23</v>
      </c>
      <c r="G62" s="16"/>
      <c r="H62" s="16">
        <v>7.45</v>
      </c>
      <c r="I62" s="16">
        <v>-23.82</v>
      </c>
      <c r="J62" s="16">
        <v>15.32</v>
      </c>
      <c r="K62" s="16"/>
      <c r="L62" s="16">
        <v>508.55</v>
      </c>
      <c r="M62" s="16">
        <v>-523.87</v>
      </c>
      <c r="N62" s="16">
        <v>512.6</v>
      </c>
      <c r="O62" s="16">
        <v>-441</v>
      </c>
      <c r="P62" s="16">
        <v>663.35</v>
      </c>
      <c r="Q62" s="16">
        <v>-512.6</v>
      </c>
      <c r="R62" s="16">
        <v>784.11</v>
      </c>
      <c r="S62" s="16">
        <v>-663.36</v>
      </c>
      <c r="T62" s="16">
        <v>662.58640000000025</v>
      </c>
      <c r="U62" s="16">
        <v>-784.11</v>
      </c>
      <c r="V62" s="16">
        <v>151.35519999999985</v>
      </c>
      <c r="W62" s="16">
        <v>-662.59</v>
      </c>
      <c r="X62" s="16">
        <v>9.0715000000001087</v>
      </c>
      <c r="Y62" s="16">
        <v>-151.36000000000001</v>
      </c>
      <c r="Z62" s="16">
        <v>8.7542999999997981</v>
      </c>
      <c r="AA62" s="16"/>
      <c r="AB62" s="4"/>
      <c r="AC62" s="42">
        <f t="shared" si="1"/>
        <v>17.807399999999969</v>
      </c>
    </row>
    <row r="63" spans="1:29" ht="16.5" thickBot="1">
      <c r="A63" s="1" t="s">
        <v>51</v>
      </c>
      <c r="B63" s="36" t="s">
        <v>143</v>
      </c>
      <c r="C63" s="16"/>
      <c r="D63" s="16" t="s">
        <v>202</v>
      </c>
      <c r="E63" s="16"/>
      <c r="F63" s="16" t="s">
        <v>202</v>
      </c>
      <c r="G63" s="16"/>
      <c r="H63" s="16" t="s">
        <v>202</v>
      </c>
      <c r="I63" s="16"/>
      <c r="J63" s="16" t="s">
        <v>202</v>
      </c>
      <c r="K63" s="16"/>
      <c r="L63" s="16" t="s">
        <v>202</v>
      </c>
      <c r="M63" s="16"/>
      <c r="N63" s="16" t="s">
        <v>202</v>
      </c>
      <c r="O63" s="16"/>
      <c r="P63" s="16" t="s">
        <v>202</v>
      </c>
      <c r="Q63" s="16"/>
      <c r="R63" s="16" t="s">
        <v>202</v>
      </c>
      <c r="S63" s="16"/>
      <c r="T63" s="16">
        <v>0</v>
      </c>
      <c r="U63" s="16"/>
      <c r="V63" s="16">
        <v>0</v>
      </c>
      <c r="W63" s="16"/>
      <c r="X63" s="16">
        <v>0</v>
      </c>
      <c r="Y63" s="16"/>
      <c r="Z63" s="16">
        <v>0</v>
      </c>
      <c r="AA63" s="16"/>
      <c r="AB63" s="4"/>
      <c r="AC63" s="42">
        <f t="shared" si="1"/>
        <v>0</v>
      </c>
    </row>
    <row r="64" spans="1:29" ht="16.5" thickBot="1">
      <c r="A64" s="48" t="s">
        <v>52</v>
      </c>
      <c r="B64" s="47" t="s">
        <v>144</v>
      </c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5"/>
      <c r="AC64" s="42">
        <f t="shared" si="1"/>
        <v>0</v>
      </c>
    </row>
    <row r="65" spans="1:29" ht="16.5" thickBot="1">
      <c r="A65" s="1" t="s">
        <v>53</v>
      </c>
      <c r="B65" s="36" t="s">
        <v>148</v>
      </c>
      <c r="C65" s="16"/>
      <c r="D65" s="16">
        <v>199.38</v>
      </c>
      <c r="E65" s="16"/>
      <c r="F65" s="16">
        <v>49.34</v>
      </c>
      <c r="G65" s="16"/>
      <c r="H65" s="16">
        <v>127.17</v>
      </c>
      <c r="I65" s="16"/>
      <c r="J65" s="16">
        <v>62.03</v>
      </c>
      <c r="K65" s="16">
        <v>-600</v>
      </c>
      <c r="L65" s="16">
        <v>77.599999999999994</v>
      </c>
      <c r="M65" s="16"/>
      <c r="N65" s="16">
        <v>70.459999999999994</v>
      </c>
      <c r="O65" s="16"/>
      <c r="P65" s="16">
        <v>67.349999999999994</v>
      </c>
      <c r="Q65" s="16"/>
      <c r="R65" s="16">
        <v>38.950000000000003</v>
      </c>
      <c r="S65" s="16"/>
      <c r="T65" s="16">
        <v>75.150199999999941</v>
      </c>
      <c r="U65" s="16"/>
      <c r="V65" s="16">
        <v>143.87100000000004</v>
      </c>
      <c r="W65" s="16"/>
      <c r="X65" s="16">
        <v>110.14300000000017</v>
      </c>
      <c r="Y65" s="16"/>
      <c r="Z65" s="16">
        <v>15.757300000000047</v>
      </c>
      <c r="AA65" s="16"/>
      <c r="AB65" s="4"/>
      <c r="AC65" s="42">
        <f t="shared" si="1"/>
        <v>437.20150000000018</v>
      </c>
    </row>
    <row r="66" spans="1:29" ht="16.5" thickBot="1">
      <c r="A66" s="1" t="s">
        <v>187</v>
      </c>
      <c r="B66" s="36" t="s">
        <v>145</v>
      </c>
      <c r="C66" s="16"/>
      <c r="D66" s="16">
        <v>3.43</v>
      </c>
      <c r="E66" s="16"/>
      <c r="F66" s="16">
        <v>3.36</v>
      </c>
      <c r="G66" s="16"/>
      <c r="H66" s="16">
        <v>3.07</v>
      </c>
      <c r="I66" s="16"/>
      <c r="J66" s="16">
        <v>3.38</v>
      </c>
      <c r="K66" s="16"/>
      <c r="L66" s="16">
        <v>3.27</v>
      </c>
      <c r="M66" s="16"/>
      <c r="N66" s="16">
        <v>22.12</v>
      </c>
      <c r="O66" s="16"/>
      <c r="P66" s="16">
        <v>17.22</v>
      </c>
      <c r="Q66" s="16"/>
      <c r="R66" s="16">
        <v>34.85</v>
      </c>
      <c r="S66" s="16"/>
      <c r="T66" s="16">
        <v>26.965700000000169</v>
      </c>
      <c r="U66" s="16"/>
      <c r="V66" s="16">
        <v>21.992999999999949</v>
      </c>
      <c r="W66" s="16"/>
      <c r="X66" s="16">
        <v>3.7516999999997922</v>
      </c>
      <c r="Y66" s="16"/>
      <c r="Z66" s="16">
        <v>3.5757000000002011</v>
      </c>
      <c r="AA66" s="16"/>
      <c r="AB66" s="4"/>
      <c r="AC66" s="42">
        <f t="shared" si="1"/>
        <v>146.98610000000011</v>
      </c>
    </row>
    <row r="67" spans="1:29" ht="16.5" thickBot="1">
      <c r="A67" s="1" t="s">
        <v>54</v>
      </c>
      <c r="B67" s="36" t="s">
        <v>146</v>
      </c>
      <c r="C67" s="16"/>
      <c r="D67" s="16">
        <v>4.04</v>
      </c>
      <c r="E67" s="16"/>
      <c r="F67" s="16">
        <v>3.88</v>
      </c>
      <c r="G67" s="16"/>
      <c r="H67" s="16">
        <v>3.48</v>
      </c>
      <c r="I67" s="16">
        <v>-5000</v>
      </c>
      <c r="J67" s="16">
        <v>99.7</v>
      </c>
      <c r="K67" s="16"/>
      <c r="L67" s="16">
        <v>3.89</v>
      </c>
      <c r="M67" s="16"/>
      <c r="N67" s="16">
        <v>1450.24</v>
      </c>
      <c r="O67" s="16"/>
      <c r="P67" s="16">
        <v>1234.57</v>
      </c>
      <c r="Q67" s="16"/>
      <c r="R67" s="16">
        <v>1435.19</v>
      </c>
      <c r="S67" s="16"/>
      <c r="T67" s="16">
        <v>326.88929999999755</v>
      </c>
      <c r="U67" s="16"/>
      <c r="V67" s="16">
        <v>247.11230000000052</v>
      </c>
      <c r="W67" s="16"/>
      <c r="X67" s="16">
        <v>141.80200000000175</v>
      </c>
      <c r="Y67" s="16"/>
      <c r="Z67" s="16">
        <v>4.2975999999988943</v>
      </c>
      <c r="AA67" s="16"/>
      <c r="AB67" s="4"/>
      <c r="AC67" s="42">
        <f t="shared" si="1"/>
        <v>-44.90880000000196</v>
      </c>
    </row>
    <row r="68" spans="1:29" ht="16.5" thickBot="1">
      <c r="A68" s="12" t="s">
        <v>55</v>
      </c>
      <c r="B68" s="36" t="s">
        <v>147</v>
      </c>
      <c r="C68" s="16">
        <v>311</v>
      </c>
      <c r="D68" s="16">
        <v>0.66</v>
      </c>
      <c r="E68" s="16"/>
      <c r="F68" s="16">
        <v>0.72</v>
      </c>
      <c r="G68" s="16"/>
      <c r="H68" s="16">
        <v>0.61</v>
      </c>
      <c r="I68" s="16"/>
      <c r="J68" s="16">
        <v>0.67</v>
      </c>
      <c r="K68" s="16"/>
      <c r="L68" s="16">
        <v>2.44</v>
      </c>
      <c r="M68" s="16"/>
      <c r="N68" s="16">
        <v>66.03</v>
      </c>
      <c r="O68" s="16"/>
      <c r="P68" s="16">
        <v>293.39999999999998</v>
      </c>
      <c r="Q68" s="16"/>
      <c r="R68" s="16">
        <v>290.19</v>
      </c>
      <c r="S68" s="16"/>
      <c r="T68" s="16">
        <v>1.5830000000001598</v>
      </c>
      <c r="U68" s="16"/>
      <c r="V68" s="16">
        <v>0.73980000000002799</v>
      </c>
      <c r="W68" s="16"/>
      <c r="X68" s="16">
        <v>1.0033000000000751</v>
      </c>
      <c r="Y68" s="16"/>
      <c r="Z68" s="16">
        <v>0.73980000000002799</v>
      </c>
      <c r="AA68" s="16"/>
      <c r="AB68" s="4"/>
      <c r="AC68" s="42">
        <f t="shared" si="1"/>
        <v>969.78590000000042</v>
      </c>
    </row>
    <row r="69" spans="1:29" ht="16.5" thickBot="1">
      <c r="A69" s="12" t="s">
        <v>56</v>
      </c>
      <c r="B69" s="36" t="s">
        <v>148</v>
      </c>
      <c r="C69" s="16">
        <v>217</v>
      </c>
      <c r="D69" s="16">
        <v>68.540000000000006</v>
      </c>
      <c r="E69" s="16"/>
      <c r="F69" s="16">
        <v>22.13</v>
      </c>
      <c r="G69" s="16"/>
      <c r="H69" s="16" t="s">
        <v>202</v>
      </c>
      <c r="I69" s="16"/>
      <c r="J69" s="16">
        <v>53.69</v>
      </c>
      <c r="K69" s="16">
        <v>-500</v>
      </c>
      <c r="L69" s="16">
        <v>245.61</v>
      </c>
      <c r="M69" s="16"/>
      <c r="N69" s="16">
        <v>449.26</v>
      </c>
      <c r="O69" s="16"/>
      <c r="P69" s="16">
        <v>201.09</v>
      </c>
      <c r="Q69" s="16">
        <v>-500</v>
      </c>
      <c r="R69" s="16">
        <v>470.91</v>
      </c>
      <c r="S69" s="16"/>
      <c r="T69" s="16">
        <v>385.30199999999962</v>
      </c>
      <c r="U69" s="16"/>
      <c r="V69" s="16">
        <v>220.09310000000013</v>
      </c>
      <c r="W69" s="16"/>
      <c r="X69" s="16">
        <v>263.35170000000033</v>
      </c>
      <c r="Y69" s="16"/>
      <c r="Z69" s="16">
        <v>28.141799999999566</v>
      </c>
      <c r="AA69" s="16"/>
      <c r="AB69" s="4"/>
      <c r="AC69" s="42">
        <f t="shared" si="1"/>
        <v>1625.1185999999998</v>
      </c>
    </row>
    <row r="70" spans="1:29" ht="16.5" thickBot="1">
      <c r="A70" s="75" t="s">
        <v>57</v>
      </c>
      <c r="B70" s="36" t="s">
        <v>149</v>
      </c>
      <c r="C70" s="16"/>
      <c r="D70" s="16">
        <v>4.28</v>
      </c>
      <c r="E70" s="16"/>
      <c r="F70" s="16">
        <v>4.28</v>
      </c>
      <c r="G70" s="16"/>
      <c r="H70" s="16">
        <v>3.88</v>
      </c>
      <c r="I70" s="16"/>
      <c r="J70" s="16">
        <v>43.51</v>
      </c>
      <c r="K70" s="16"/>
      <c r="L70" s="16">
        <v>4.1500000000000004</v>
      </c>
      <c r="M70" s="16"/>
      <c r="N70" s="16">
        <v>4.29</v>
      </c>
      <c r="O70" s="16"/>
      <c r="P70" s="16">
        <v>145.61000000000001</v>
      </c>
      <c r="Q70" s="16"/>
      <c r="R70" s="16">
        <v>212.57</v>
      </c>
      <c r="S70" s="16"/>
      <c r="T70" s="16">
        <v>5.0553000000003081</v>
      </c>
      <c r="U70" s="16"/>
      <c r="V70" s="16">
        <v>4.4745999999995361</v>
      </c>
      <c r="W70" s="16">
        <v>-1000</v>
      </c>
      <c r="X70" s="16">
        <v>86.195400000000106</v>
      </c>
      <c r="Y70" s="16"/>
      <c r="Z70" s="16">
        <v>4.5273000000000874</v>
      </c>
      <c r="AA70" s="16"/>
      <c r="AB70" s="4"/>
      <c r="AC70" s="42">
        <f t="shared" si="1"/>
        <v>-477.17739999999986</v>
      </c>
    </row>
    <row r="71" spans="1:29" ht="16.5" thickBot="1">
      <c r="A71" s="75" t="s">
        <v>58</v>
      </c>
      <c r="B71" s="36" t="s">
        <v>150</v>
      </c>
      <c r="C71" s="16"/>
      <c r="D71" s="16">
        <v>3.72</v>
      </c>
      <c r="E71" s="16"/>
      <c r="F71" s="16">
        <v>3.67</v>
      </c>
      <c r="G71" s="16"/>
      <c r="H71" s="16">
        <v>3.41</v>
      </c>
      <c r="I71" s="16"/>
      <c r="J71" s="16">
        <v>3.65</v>
      </c>
      <c r="K71" s="16"/>
      <c r="L71" s="16">
        <v>25.26</v>
      </c>
      <c r="M71" s="16"/>
      <c r="N71" s="16">
        <v>16.670000000000002</v>
      </c>
      <c r="O71" s="16"/>
      <c r="P71" s="16">
        <v>29.57</v>
      </c>
      <c r="Q71" s="16"/>
      <c r="R71" s="16">
        <v>129.57</v>
      </c>
      <c r="S71" s="16"/>
      <c r="T71" s="16">
        <v>81.755099999999942</v>
      </c>
      <c r="U71" s="16"/>
      <c r="V71" s="16">
        <v>14.711399999999998</v>
      </c>
      <c r="W71" s="16"/>
      <c r="X71" s="16">
        <v>7.9866000000000357</v>
      </c>
      <c r="Y71" s="16">
        <v>-1000</v>
      </c>
      <c r="Z71" s="16">
        <v>3.9804000000000213</v>
      </c>
      <c r="AA71" s="16"/>
      <c r="AB71" s="4"/>
      <c r="AC71" s="42">
        <f t="shared" si="1"/>
        <v>-676.04650000000004</v>
      </c>
    </row>
    <row r="72" spans="1:29" ht="16.5" thickBot="1">
      <c r="A72" s="1" t="s">
        <v>59</v>
      </c>
      <c r="B72" s="36" t="s">
        <v>151</v>
      </c>
      <c r="C72" s="16"/>
      <c r="D72" s="16">
        <v>1.52</v>
      </c>
      <c r="E72" s="16"/>
      <c r="F72" s="16">
        <v>1.62</v>
      </c>
      <c r="G72" s="16"/>
      <c r="H72" s="16">
        <v>1.78</v>
      </c>
      <c r="I72" s="16"/>
      <c r="J72" s="16">
        <v>1.73</v>
      </c>
      <c r="K72" s="16"/>
      <c r="L72" s="16">
        <v>16.649999999999999</v>
      </c>
      <c r="M72" s="16"/>
      <c r="N72" s="16">
        <v>85.26</v>
      </c>
      <c r="O72" s="16"/>
      <c r="P72" s="16">
        <v>92.92</v>
      </c>
      <c r="Q72" s="16"/>
      <c r="R72" s="16">
        <v>50.28</v>
      </c>
      <c r="S72" s="16">
        <v>-179</v>
      </c>
      <c r="T72" s="16">
        <v>55.236800000000073</v>
      </c>
      <c r="U72" s="16"/>
      <c r="V72" s="16">
        <v>57.022899999999815</v>
      </c>
      <c r="W72" s="16"/>
      <c r="X72" s="16">
        <v>6.2694000000001529</v>
      </c>
      <c r="Y72" s="16"/>
      <c r="Z72" s="16">
        <v>1.5143999999999989</v>
      </c>
      <c r="AA72" s="16"/>
      <c r="AB72" s="4"/>
      <c r="AC72" s="42">
        <f t="shared" si="1"/>
        <v>192.80350000000007</v>
      </c>
    </row>
    <row r="73" spans="1:29" ht="16.5" thickBot="1">
      <c r="A73" s="1" t="s">
        <v>60</v>
      </c>
      <c r="B73" s="36" t="s">
        <v>152</v>
      </c>
      <c r="C73" s="16"/>
      <c r="D73" s="16" t="s">
        <v>202</v>
      </c>
      <c r="E73" s="16"/>
      <c r="F73" s="16" t="s">
        <v>202</v>
      </c>
      <c r="G73" s="16"/>
      <c r="H73" s="16" t="s">
        <v>202</v>
      </c>
      <c r="I73" s="16"/>
      <c r="J73" s="16" t="s">
        <v>202</v>
      </c>
      <c r="K73" s="16"/>
      <c r="L73" s="16">
        <v>42.07</v>
      </c>
      <c r="M73" s="16"/>
      <c r="N73" s="16">
        <v>28.91</v>
      </c>
      <c r="O73" s="16"/>
      <c r="P73" s="16">
        <v>97.61</v>
      </c>
      <c r="Q73" s="16"/>
      <c r="R73" s="16">
        <v>49.11</v>
      </c>
      <c r="S73" s="16"/>
      <c r="T73" s="16">
        <v>24.624900000000157</v>
      </c>
      <c r="U73" s="16"/>
      <c r="V73" s="16">
        <v>23.130399999999966</v>
      </c>
      <c r="W73" s="16">
        <v>-600</v>
      </c>
      <c r="X73" s="16">
        <v>50.135599999999933</v>
      </c>
      <c r="Y73" s="16"/>
      <c r="Z73" s="16">
        <v>86.73149999999994</v>
      </c>
      <c r="AA73" s="16"/>
      <c r="AB73" s="4"/>
      <c r="AC73" s="42">
        <f t="shared" si="1"/>
        <v>-197.67759999999998</v>
      </c>
    </row>
    <row r="74" spans="1:29" ht="16.5" thickBot="1">
      <c r="A74" s="1" t="s">
        <v>61</v>
      </c>
      <c r="B74" s="36" t="s">
        <v>153</v>
      </c>
      <c r="C74" s="16"/>
      <c r="D74" s="16">
        <v>1.1200000000000001</v>
      </c>
      <c r="E74" s="16"/>
      <c r="F74" s="16">
        <v>1.35</v>
      </c>
      <c r="G74" s="16"/>
      <c r="H74" s="16">
        <v>0.96</v>
      </c>
      <c r="I74" s="16"/>
      <c r="J74" s="16">
        <v>1.06</v>
      </c>
      <c r="K74" s="16"/>
      <c r="L74" s="16">
        <v>128.37</v>
      </c>
      <c r="M74" s="16"/>
      <c r="N74" s="16">
        <v>381.07</v>
      </c>
      <c r="O74" s="16">
        <v>-200</v>
      </c>
      <c r="P74" s="16">
        <v>427.35</v>
      </c>
      <c r="Q74" s="16"/>
      <c r="R74" s="16">
        <v>450.16</v>
      </c>
      <c r="S74" s="16">
        <v>-500</v>
      </c>
      <c r="T74" s="16">
        <v>440.43950000000063</v>
      </c>
      <c r="U74" s="16">
        <v>-1000</v>
      </c>
      <c r="V74" s="16">
        <v>3.4284999999994819</v>
      </c>
      <c r="W74" s="16"/>
      <c r="X74" s="16">
        <v>1.2330000000000769</v>
      </c>
      <c r="Y74" s="16"/>
      <c r="Z74" s="16">
        <v>1.1097000000003923</v>
      </c>
      <c r="AA74" s="16"/>
      <c r="AB74" s="4"/>
      <c r="AC74" s="42">
        <f t="shared" si="1"/>
        <v>137.65070000000065</v>
      </c>
    </row>
    <row r="75" spans="1:29" ht="16.5" thickBot="1">
      <c r="A75" s="1" t="s">
        <v>62</v>
      </c>
      <c r="B75" s="36" t="s">
        <v>154</v>
      </c>
      <c r="C75" s="16"/>
      <c r="D75" s="16" t="s">
        <v>202</v>
      </c>
      <c r="E75" s="16"/>
      <c r="F75" s="16" t="s">
        <v>202</v>
      </c>
      <c r="G75" s="16"/>
      <c r="H75" s="16" t="s">
        <v>202</v>
      </c>
      <c r="I75" s="16"/>
      <c r="J75" s="16" t="s">
        <v>202</v>
      </c>
      <c r="K75" s="16"/>
      <c r="L75" s="16">
        <v>608.66999999999996</v>
      </c>
      <c r="M75" s="16"/>
      <c r="N75" s="16">
        <v>427.71</v>
      </c>
      <c r="O75" s="16">
        <v>-610</v>
      </c>
      <c r="P75" s="16">
        <v>384.79</v>
      </c>
      <c r="Q75" s="16">
        <v>-430</v>
      </c>
      <c r="R75" s="16">
        <v>517.4</v>
      </c>
      <c r="S75" s="16">
        <f>-385-520</f>
        <v>-905</v>
      </c>
      <c r="T75" s="16">
        <v>881.415400000001</v>
      </c>
      <c r="U75" s="16"/>
      <c r="V75" s="16">
        <v>0</v>
      </c>
      <c r="W75" s="16">
        <v>-1000</v>
      </c>
      <c r="X75" s="16">
        <v>0</v>
      </c>
      <c r="Y75" s="16"/>
      <c r="Z75" s="16">
        <v>0</v>
      </c>
      <c r="AA75" s="16"/>
      <c r="AB75" s="4"/>
      <c r="AC75" s="42">
        <f t="shared" ref="AC75:AC100" si="2">SUM(C75:AB75)</f>
        <v>-125.01459999999918</v>
      </c>
    </row>
    <row r="76" spans="1:29" ht="16.5" thickBot="1">
      <c r="A76" s="48" t="s">
        <v>63</v>
      </c>
      <c r="B76" s="47" t="s">
        <v>173</v>
      </c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>
        <v>-42.22</v>
      </c>
      <c r="T76" s="46"/>
      <c r="U76" s="46"/>
      <c r="V76" s="46"/>
      <c r="W76" s="46"/>
      <c r="X76" s="46"/>
      <c r="Y76" s="46"/>
      <c r="Z76" s="46"/>
      <c r="AA76" s="46"/>
      <c r="AB76" s="45"/>
      <c r="AC76" s="42">
        <f t="shared" si="2"/>
        <v>-42.22</v>
      </c>
    </row>
    <row r="77" spans="1:29" ht="16.5" thickBot="1">
      <c r="A77" s="48" t="s">
        <v>186</v>
      </c>
      <c r="B77" s="47" t="s">
        <v>173</v>
      </c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5"/>
      <c r="AC77" s="42">
        <f t="shared" si="2"/>
        <v>0</v>
      </c>
    </row>
    <row r="78" spans="1:29" ht="16.5" thickBot="1">
      <c r="A78" s="74" t="s">
        <v>64</v>
      </c>
      <c r="B78" s="73" t="s">
        <v>174</v>
      </c>
      <c r="C78" s="72"/>
      <c r="D78" s="72">
        <v>1079.08</v>
      </c>
      <c r="E78" s="72"/>
      <c r="F78" s="72">
        <v>746.99</v>
      </c>
      <c r="G78" s="72"/>
      <c r="H78" s="72">
        <v>694.87</v>
      </c>
      <c r="I78" s="72">
        <v>-2866.89</v>
      </c>
      <c r="J78" s="72">
        <v>786.58</v>
      </c>
      <c r="K78" s="72">
        <v>-2373.63</v>
      </c>
      <c r="L78" s="72">
        <v>998.64</v>
      </c>
      <c r="M78" s="72">
        <v>-1031.3900000000001</v>
      </c>
      <c r="N78" s="72">
        <v>1227.93</v>
      </c>
      <c r="O78" s="72">
        <v>-1689.75</v>
      </c>
      <c r="P78" s="72">
        <v>1078.42</v>
      </c>
      <c r="Q78" s="72"/>
      <c r="R78" s="72">
        <v>1249.52</v>
      </c>
      <c r="S78" s="72">
        <v>-2652.42</v>
      </c>
      <c r="T78" s="72">
        <v>1118.7587999999976</v>
      </c>
      <c r="U78" s="72"/>
      <c r="V78" s="72">
        <v>724.69590000000255</v>
      </c>
      <c r="W78" s="72"/>
      <c r="X78" s="72">
        <v>512.75010000000179</v>
      </c>
      <c r="Y78" s="72">
        <v>-2003.18</v>
      </c>
      <c r="Z78" s="72">
        <v>594.00640000000135</v>
      </c>
      <c r="AA78" s="72"/>
      <c r="AB78" s="71"/>
      <c r="AC78" s="42">
        <f t="shared" si="2"/>
        <v>-1805.0187999999964</v>
      </c>
    </row>
    <row r="79" spans="1:29" ht="16.5" thickBot="1">
      <c r="A79" s="74" t="s">
        <v>185</v>
      </c>
      <c r="B79" s="73" t="s">
        <v>174</v>
      </c>
      <c r="C79" s="72"/>
      <c r="D79" s="72">
        <v>123.58</v>
      </c>
      <c r="E79" s="72"/>
      <c r="F79" s="72">
        <v>207.4</v>
      </c>
      <c r="G79" s="72"/>
      <c r="H79" s="72">
        <v>11.8</v>
      </c>
      <c r="I79" s="72"/>
      <c r="J79" s="72">
        <v>880.38</v>
      </c>
      <c r="K79" s="72"/>
      <c r="L79" s="72">
        <v>32.75</v>
      </c>
      <c r="M79" s="72"/>
      <c r="N79" s="72">
        <v>118.31</v>
      </c>
      <c r="O79" s="72"/>
      <c r="P79" s="72">
        <v>118.8</v>
      </c>
      <c r="Q79" s="72"/>
      <c r="R79" s="72">
        <v>205.67</v>
      </c>
      <c r="S79" s="72"/>
      <c r="T79" s="72">
        <v>123.93450000000044</v>
      </c>
      <c r="U79" s="72"/>
      <c r="V79" s="72">
        <v>35.794899999999501</v>
      </c>
      <c r="W79" s="72"/>
      <c r="X79" s="72">
        <v>10.997699999999833</v>
      </c>
      <c r="Y79" s="72"/>
      <c r="Z79" s="72">
        <v>5.5376000000007739</v>
      </c>
      <c r="AA79" s="72"/>
      <c r="AB79" s="71"/>
      <c r="AC79" s="42">
        <f t="shared" si="2"/>
        <v>1874.9547000000007</v>
      </c>
    </row>
    <row r="80" spans="1:29" ht="16.5" thickBot="1">
      <c r="A80" s="1" t="s">
        <v>65</v>
      </c>
      <c r="B80" s="36" t="s">
        <v>175</v>
      </c>
      <c r="C80" s="16"/>
      <c r="D80" s="16">
        <v>0.85</v>
      </c>
      <c r="E80" s="16"/>
      <c r="F80" s="16">
        <v>0.83</v>
      </c>
      <c r="G80" s="16"/>
      <c r="H80" s="16">
        <v>0.74</v>
      </c>
      <c r="I80" s="16"/>
      <c r="J80" s="16">
        <v>0.8</v>
      </c>
      <c r="K80" s="16"/>
      <c r="L80" s="16">
        <v>0.78</v>
      </c>
      <c r="M80" s="16"/>
      <c r="N80" s="16">
        <v>99.83</v>
      </c>
      <c r="O80" s="16"/>
      <c r="P80" s="16">
        <v>79.53</v>
      </c>
      <c r="Q80" s="16"/>
      <c r="R80" s="16">
        <v>36.11</v>
      </c>
      <c r="S80" s="16"/>
      <c r="T80" s="16">
        <v>80.818699999999922</v>
      </c>
      <c r="U80" s="16"/>
      <c r="V80" s="16">
        <v>0.86310000000006559</v>
      </c>
      <c r="W80" s="16"/>
      <c r="X80" s="16">
        <v>0.91580000000006856</v>
      </c>
      <c r="Y80" s="16"/>
      <c r="Z80" s="16">
        <v>0.86309999999991582</v>
      </c>
      <c r="AA80" s="16"/>
      <c r="AB80" s="4"/>
      <c r="AC80" s="42">
        <f t="shared" si="2"/>
        <v>302.9307</v>
      </c>
    </row>
    <row r="81" spans="1:29" ht="16.5" thickBot="1">
      <c r="A81" s="48" t="s">
        <v>66</v>
      </c>
      <c r="B81" s="47" t="s">
        <v>176</v>
      </c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5"/>
      <c r="AC81" s="42">
        <f t="shared" si="2"/>
        <v>0</v>
      </c>
    </row>
    <row r="82" spans="1:29" ht="16.5" thickBot="1">
      <c r="A82" s="1" t="s">
        <v>67</v>
      </c>
      <c r="B82" s="36" t="s">
        <v>177</v>
      </c>
      <c r="C82" s="16"/>
      <c r="D82" s="16">
        <v>3.16</v>
      </c>
      <c r="E82" s="16"/>
      <c r="F82" s="16">
        <v>3.09</v>
      </c>
      <c r="G82" s="16"/>
      <c r="H82" s="16">
        <v>2.85</v>
      </c>
      <c r="I82" s="16"/>
      <c r="J82" s="16">
        <v>23.32</v>
      </c>
      <c r="K82" s="16"/>
      <c r="L82" s="16">
        <v>16.63</v>
      </c>
      <c r="M82" s="16"/>
      <c r="N82" s="16">
        <v>208.07</v>
      </c>
      <c r="O82" s="16">
        <v>-200</v>
      </c>
      <c r="P82" s="16">
        <v>533.5</v>
      </c>
      <c r="Q82" s="16"/>
      <c r="R82" s="16">
        <v>1071.06</v>
      </c>
      <c r="S82" s="16">
        <v>-646.91</v>
      </c>
      <c r="T82" s="16">
        <v>326.94149999999945</v>
      </c>
      <c r="U82" s="16"/>
      <c r="V82" s="16">
        <v>3.9088000000004466</v>
      </c>
      <c r="W82" s="16">
        <v>-1400</v>
      </c>
      <c r="X82" s="16">
        <v>3.5050999999996151</v>
      </c>
      <c r="Y82" s="16"/>
      <c r="Z82" s="16">
        <v>3.3469999999997593</v>
      </c>
      <c r="AA82" s="16"/>
      <c r="AB82" s="4"/>
      <c r="AC82" s="42">
        <f t="shared" si="2"/>
        <v>-47.52760000000081</v>
      </c>
    </row>
    <row r="83" spans="1:29" ht="16.5" thickBot="1">
      <c r="A83" s="1" t="s">
        <v>68</v>
      </c>
      <c r="B83" s="36" t="s">
        <v>178</v>
      </c>
      <c r="C83" s="16">
        <v>741</v>
      </c>
      <c r="D83" s="16">
        <v>26.25</v>
      </c>
      <c r="E83" s="16"/>
      <c r="F83" s="16" t="s">
        <v>202</v>
      </c>
      <c r="G83" s="16"/>
      <c r="H83" s="16" t="s">
        <v>202</v>
      </c>
      <c r="I83" s="16"/>
      <c r="J83" s="16" t="s">
        <v>202</v>
      </c>
      <c r="K83" s="16"/>
      <c r="L83" s="16">
        <v>56.91</v>
      </c>
      <c r="M83" s="16"/>
      <c r="N83" s="16">
        <v>1178.3399999999999</v>
      </c>
      <c r="O83" s="16"/>
      <c r="P83" s="16">
        <v>1691.64</v>
      </c>
      <c r="Q83" s="16"/>
      <c r="R83" s="16">
        <v>1684.4</v>
      </c>
      <c r="S83" s="16">
        <v>-4611.29</v>
      </c>
      <c r="T83" s="16">
        <v>389.16339999999991</v>
      </c>
      <c r="U83" s="16"/>
      <c r="V83" s="16">
        <v>13.174999999999999</v>
      </c>
      <c r="W83" s="16">
        <v>-389.16</v>
      </c>
      <c r="X83" s="16">
        <v>90.327799999999328</v>
      </c>
      <c r="Y83" s="16"/>
      <c r="Z83" s="16">
        <v>0</v>
      </c>
      <c r="AA83" s="16"/>
      <c r="AB83" s="4"/>
      <c r="AC83" s="42">
        <f t="shared" si="2"/>
        <v>870.75620000000004</v>
      </c>
    </row>
    <row r="84" spans="1:29" ht="16.5" thickBot="1">
      <c r="A84" s="48" t="s">
        <v>184</v>
      </c>
      <c r="B84" s="47" t="s">
        <v>183</v>
      </c>
      <c r="C84" s="46"/>
      <c r="D84" s="46">
        <v>0.53</v>
      </c>
      <c r="E84" s="46"/>
      <c r="F84" s="46">
        <v>0.43</v>
      </c>
      <c r="G84" s="46"/>
      <c r="H84" s="46">
        <v>1.1499999999999999</v>
      </c>
      <c r="I84" s="46"/>
      <c r="J84" s="46">
        <v>1.02</v>
      </c>
      <c r="K84" s="46"/>
      <c r="L84" s="46">
        <v>1.92</v>
      </c>
      <c r="M84" s="46"/>
      <c r="N84" s="46">
        <v>6.2</v>
      </c>
      <c r="O84" s="46"/>
      <c r="P84" s="46">
        <v>9.75</v>
      </c>
      <c r="Q84" s="46"/>
      <c r="R84" s="46">
        <v>10.82</v>
      </c>
      <c r="S84" s="46"/>
      <c r="T84" s="46">
        <v>7.3779999999999921</v>
      </c>
      <c r="U84" s="46"/>
      <c r="V84" s="46">
        <v>7.4834000000000085</v>
      </c>
      <c r="W84" s="46"/>
      <c r="X84" s="46">
        <v>0.68509999999997595</v>
      </c>
      <c r="Y84" s="46"/>
      <c r="Z84" s="46">
        <v>0.31620000000001197</v>
      </c>
      <c r="AA84" s="46"/>
      <c r="AB84" s="45"/>
      <c r="AC84" s="42">
        <f t="shared" si="2"/>
        <v>47.68269999999999</v>
      </c>
    </row>
    <row r="85" spans="1:29" ht="16.5" thickBot="1">
      <c r="A85" s="48" t="s">
        <v>69</v>
      </c>
      <c r="B85" s="47" t="s">
        <v>155</v>
      </c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5"/>
      <c r="AC85" s="42">
        <f t="shared" si="2"/>
        <v>0</v>
      </c>
    </row>
    <row r="86" spans="1:29" ht="16.5" thickBot="1">
      <c r="A86" s="1" t="s">
        <v>70</v>
      </c>
      <c r="B86" s="36" t="s">
        <v>156</v>
      </c>
      <c r="C86" s="16"/>
      <c r="D86" s="16">
        <v>4.5599999999999996</v>
      </c>
      <c r="E86" s="16"/>
      <c r="F86" s="16">
        <v>4.82</v>
      </c>
      <c r="G86" s="16"/>
      <c r="H86" s="16">
        <v>4.4400000000000004</v>
      </c>
      <c r="I86" s="16"/>
      <c r="J86" s="16">
        <v>4.82</v>
      </c>
      <c r="K86" s="16"/>
      <c r="L86" s="16">
        <v>225.13</v>
      </c>
      <c r="M86" s="16"/>
      <c r="N86" s="16">
        <v>338.18</v>
      </c>
      <c r="O86" s="16"/>
      <c r="P86" s="16">
        <v>320.5</v>
      </c>
      <c r="Q86" s="16"/>
      <c r="R86" s="16">
        <v>245.32</v>
      </c>
      <c r="S86" s="16"/>
      <c r="T86" s="16">
        <v>270.36149999999998</v>
      </c>
      <c r="U86" s="16"/>
      <c r="V86" s="16">
        <v>96.255400000000378</v>
      </c>
      <c r="W86" s="16">
        <v>-2060.34</v>
      </c>
      <c r="X86" s="16">
        <v>16.969400000000142</v>
      </c>
      <c r="Y86" s="16"/>
      <c r="Z86" s="16">
        <v>0</v>
      </c>
      <c r="AA86" s="16"/>
      <c r="AB86" s="4"/>
      <c r="AC86" s="42">
        <f t="shared" si="2"/>
        <v>-528.98369999999954</v>
      </c>
    </row>
    <row r="87" spans="1:29" ht="16.5" thickBot="1">
      <c r="A87" s="1" t="s">
        <v>71</v>
      </c>
      <c r="B87" s="36" t="s">
        <v>157</v>
      </c>
      <c r="C87" s="16">
        <v>651</v>
      </c>
      <c r="D87" s="16" t="s">
        <v>202</v>
      </c>
      <c r="E87" s="16"/>
      <c r="F87" s="16" t="s">
        <v>202</v>
      </c>
      <c r="G87" s="16"/>
      <c r="H87" s="16" t="s">
        <v>202</v>
      </c>
      <c r="I87" s="16"/>
      <c r="J87" s="16" t="s">
        <v>202</v>
      </c>
      <c r="K87" s="16"/>
      <c r="L87" s="16">
        <v>576.54999999999995</v>
      </c>
      <c r="M87" s="16"/>
      <c r="N87" s="16">
        <v>2093.98</v>
      </c>
      <c r="O87" s="16"/>
      <c r="P87" s="16">
        <v>1984.9</v>
      </c>
      <c r="Q87" s="16">
        <f>-215.03-528.62-651-1076.05</f>
        <v>-2470.6999999999998</v>
      </c>
      <c r="R87" s="16">
        <v>2044.16</v>
      </c>
      <c r="S87" s="16">
        <f>-1984.9-2044.16</f>
        <v>-4029.0600000000004</v>
      </c>
      <c r="T87" s="16">
        <v>2042.1884</v>
      </c>
      <c r="U87" s="16"/>
      <c r="V87" s="16">
        <v>265.18140000000022</v>
      </c>
      <c r="W87" s="16">
        <v>-2042.19</v>
      </c>
      <c r="X87" s="16">
        <v>17.18019999999995</v>
      </c>
      <c r="Y87" s="16"/>
      <c r="Z87" s="16">
        <v>0</v>
      </c>
      <c r="AA87" s="16"/>
      <c r="AB87" s="4"/>
      <c r="AC87" s="42">
        <f t="shared" si="2"/>
        <v>1133.1900000000003</v>
      </c>
    </row>
    <row r="88" spans="1:29" ht="16.5" thickBot="1">
      <c r="A88" s="1" t="s">
        <v>72</v>
      </c>
      <c r="B88" s="36" t="s">
        <v>158</v>
      </c>
      <c r="C88" s="16"/>
      <c r="D88" s="16">
        <v>5.22</v>
      </c>
      <c r="E88" s="16"/>
      <c r="F88" s="16">
        <v>5.22</v>
      </c>
      <c r="G88" s="16"/>
      <c r="H88" s="16">
        <v>4.72</v>
      </c>
      <c r="I88" s="16"/>
      <c r="J88" s="16">
        <v>5.28</v>
      </c>
      <c r="K88" s="16"/>
      <c r="L88" s="16">
        <v>92.72</v>
      </c>
      <c r="M88" s="16"/>
      <c r="N88" s="16">
        <v>458.65</v>
      </c>
      <c r="O88" s="16">
        <v>-200</v>
      </c>
      <c r="P88" s="16">
        <v>908.34</v>
      </c>
      <c r="Q88" s="16"/>
      <c r="R88" s="16">
        <v>901.85</v>
      </c>
      <c r="S88" s="16">
        <v>-902</v>
      </c>
      <c r="T88" s="16">
        <v>1103.2487999999987</v>
      </c>
      <c r="U88" s="16"/>
      <c r="V88" s="16">
        <v>243.89060000000055</v>
      </c>
      <c r="W88" s="16">
        <v>-1105</v>
      </c>
      <c r="X88" s="16">
        <v>0</v>
      </c>
      <c r="Y88" s="16"/>
      <c r="Z88" s="16">
        <v>0</v>
      </c>
      <c r="AA88" s="16"/>
      <c r="AB88" s="4"/>
      <c r="AC88" s="42">
        <f t="shared" si="2"/>
        <v>1522.1393999999991</v>
      </c>
    </row>
    <row r="89" spans="1:29" ht="16.5" thickBot="1">
      <c r="A89" s="1" t="s">
        <v>73</v>
      </c>
      <c r="B89" s="36" t="s">
        <v>159</v>
      </c>
      <c r="C89" s="16"/>
      <c r="D89" s="16">
        <v>3.32</v>
      </c>
      <c r="E89" s="16"/>
      <c r="F89" s="16">
        <v>3.41</v>
      </c>
      <c r="G89" s="16"/>
      <c r="H89" s="16">
        <v>3.65</v>
      </c>
      <c r="I89" s="16"/>
      <c r="J89" s="16">
        <v>3.44</v>
      </c>
      <c r="K89" s="16"/>
      <c r="L89" s="16">
        <v>3.59</v>
      </c>
      <c r="M89" s="16"/>
      <c r="N89" s="16">
        <v>75.819999999999993</v>
      </c>
      <c r="O89" s="16"/>
      <c r="P89" s="16">
        <v>90.45</v>
      </c>
      <c r="Q89" s="16"/>
      <c r="R89" s="16">
        <v>216.54</v>
      </c>
      <c r="S89" s="16"/>
      <c r="T89" s="16">
        <v>205.28970000000015</v>
      </c>
      <c r="U89" s="16"/>
      <c r="V89" s="16">
        <v>92.01889999999986</v>
      </c>
      <c r="W89" s="16"/>
      <c r="X89" s="16">
        <v>39.012500000000323</v>
      </c>
      <c r="Y89" s="16"/>
      <c r="Z89" s="16">
        <v>3.8391999999999102</v>
      </c>
      <c r="AA89" s="16"/>
      <c r="AB89" s="4"/>
      <c r="AC89" s="42">
        <f t="shared" si="2"/>
        <v>740.38030000000026</v>
      </c>
    </row>
    <row r="90" spans="1:29" ht="16.5" thickBot="1">
      <c r="A90" s="1" t="s">
        <v>74</v>
      </c>
      <c r="B90" s="36" t="s">
        <v>160</v>
      </c>
      <c r="C90" s="16"/>
      <c r="D90" s="16" t="s">
        <v>202</v>
      </c>
      <c r="E90" s="16"/>
      <c r="F90" s="16" t="s">
        <v>202</v>
      </c>
      <c r="G90" s="16"/>
      <c r="H90" s="16" t="s">
        <v>202</v>
      </c>
      <c r="I90" s="16"/>
      <c r="J90" s="16" t="s">
        <v>202</v>
      </c>
      <c r="K90" s="16"/>
      <c r="L90" s="16" t="s">
        <v>202</v>
      </c>
      <c r="M90" s="16"/>
      <c r="N90" s="16" t="s">
        <v>202</v>
      </c>
      <c r="O90" s="16"/>
      <c r="P90" s="16" t="s">
        <v>202</v>
      </c>
      <c r="Q90" s="16"/>
      <c r="R90" s="16" t="s">
        <v>202</v>
      </c>
      <c r="S90" s="16"/>
      <c r="T90" s="16">
        <v>0</v>
      </c>
      <c r="U90" s="16"/>
      <c r="V90" s="16">
        <v>0</v>
      </c>
      <c r="W90" s="16"/>
      <c r="X90" s="16">
        <v>0</v>
      </c>
      <c r="Y90" s="16"/>
      <c r="Z90" s="16">
        <v>0</v>
      </c>
      <c r="AA90" s="16"/>
      <c r="AB90" s="4"/>
      <c r="AC90" s="42">
        <f t="shared" si="2"/>
        <v>0</v>
      </c>
    </row>
    <row r="91" spans="1:29" ht="16.5" thickBot="1">
      <c r="A91" s="1" t="s">
        <v>182</v>
      </c>
      <c r="B91" s="36" t="s">
        <v>161</v>
      </c>
      <c r="C91" s="16"/>
      <c r="D91" s="16" t="s">
        <v>202</v>
      </c>
      <c r="E91" s="16"/>
      <c r="F91" s="16" t="s">
        <v>202</v>
      </c>
      <c r="G91" s="16"/>
      <c r="H91" s="16" t="s">
        <v>202</v>
      </c>
      <c r="I91" s="16"/>
      <c r="J91" s="16">
        <v>326.45999999999998</v>
      </c>
      <c r="K91" s="16"/>
      <c r="L91" s="16">
        <v>1047.08</v>
      </c>
      <c r="M91" s="16"/>
      <c r="N91" s="16">
        <v>402.22</v>
      </c>
      <c r="O91" s="16"/>
      <c r="P91" s="16">
        <v>323.73</v>
      </c>
      <c r="Q91" s="16"/>
      <c r="R91" s="16">
        <v>309.72000000000003</v>
      </c>
      <c r="S91" s="16"/>
      <c r="T91" s="16">
        <v>458.20689999999854</v>
      </c>
      <c r="U91" s="16"/>
      <c r="V91" s="16">
        <v>1185.1501000000032</v>
      </c>
      <c r="W91" s="16">
        <v>-5580</v>
      </c>
      <c r="X91" s="16">
        <v>1149.8547999999969</v>
      </c>
      <c r="Y91" s="16"/>
      <c r="Z91" s="16">
        <v>0</v>
      </c>
      <c r="AA91" s="16">
        <v>-14524</v>
      </c>
      <c r="AB91" s="4"/>
      <c r="AC91" s="42">
        <f t="shared" si="2"/>
        <v>-14901.578200000002</v>
      </c>
    </row>
    <row r="92" spans="1:29" ht="16.5" thickBot="1">
      <c r="A92" s="1" t="s">
        <v>75</v>
      </c>
      <c r="B92" s="36" t="s">
        <v>162</v>
      </c>
      <c r="C92" s="16"/>
      <c r="D92" s="16" t="s">
        <v>202</v>
      </c>
      <c r="E92" s="16"/>
      <c r="F92" s="16" t="s">
        <v>202</v>
      </c>
      <c r="G92" s="16"/>
      <c r="H92" s="16" t="s">
        <v>202</v>
      </c>
      <c r="I92" s="16"/>
      <c r="J92" s="16">
        <v>175.98</v>
      </c>
      <c r="K92" s="16"/>
      <c r="L92" s="16">
        <v>493.25</v>
      </c>
      <c r="M92" s="16"/>
      <c r="N92" s="16">
        <v>486.02</v>
      </c>
      <c r="O92" s="16"/>
      <c r="P92" s="16">
        <v>537.6</v>
      </c>
      <c r="Q92" s="16"/>
      <c r="R92" s="16">
        <v>624.79999999999995</v>
      </c>
      <c r="S92" s="16">
        <v>-2000</v>
      </c>
      <c r="T92" s="16">
        <v>297.3603999999998</v>
      </c>
      <c r="U92" s="16"/>
      <c r="V92" s="16">
        <v>118.33590000000025</v>
      </c>
      <c r="W92" s="16">
        <v>-630</v>
      </c>
      <c r="X92" s="16">
        <v>1.6863999999996644</v>
      </c>
      <c r="Y92" s="16"/>
      <c r="Z92" s="16">
        <v>0</v>
      </c>
      <c r="AA92" s="16"/>
      <c r="AB92" s="4"/>
      <c r="AC92" s="42">
        <f t="shared" si="2"/>
        <v>105.03269999999937</v>
      </c>
    </row>
    <row r="93" spans="1:29" ht="16.5" thickBot="1">
      <c r="A93" s="1" t="s">
        <v>76</v>
      </c>
      <c r="B93" s="36" t="s">
        <v>179</v>
      </c>
      <c r="C93" s="16"/>
      <c r="D93" s="16">
        <v>145.08000000000001</v>
      </c>
      <c r="E93" s="16"/>
      <c r="F93" s="16">
        <v>147.97999999999999</v>
      </c>
      <c r="G93" s="16">
        <v>-145.08000000000001</v>
      </c>
      <c r="H93" s="16">
        <v>121.05</v>
      </c>
      <c r="I93" s="16">
        <v>-147.97999999999999</v>
      </c>
      <c r="J93" s="16">
        <v>131.68</v>
      </c>
      <c r="K93" s="16">
        <f>-121.05-131.68</f>
        <v>-252.73000000000002</v>
      </c>
      <c r="L93" s="16">
        <v>3023.01</v>
      </c>
      <c r="M93" s="16"/>
      <c r="N93" s="16">
        <v>1263.23</v>
      </c>
      <c r="O93" s="16">
        <v>-3023.01</v>
      </c>
      <c r="P93" s="16">
        <v>1317.1</v>
      </c>
      <c r="Q93" s="16">
        <f>-1263.23-1317.1</f>
        <v>-2580.33</v>
      </c>
      <c r="R93" s="16">
        <v>1600.05</v>
      </c>
      <c r="S93" s="16">
        <v>-1601</v>
      </c>
      <c r="T93" s="16">
        <v>2691.7639999999969</v>
      </c>
      <c r="U93" s="16"/>
      <c r="V93" s="16">
        <v>481.19610000000085</v>
      </c>
      <c r="W93" s="16">
        <v>-2692</v>
      </c>
      <c r="X93" s="16">
        <v>180.5673000000011</v>
      </c>
      <c r="Y93" s="16">
        <v>-481</v>
      </c>
      <c r="Z93" s="16">
        <v>332.98360000000179</v>
      </c>
      <c r="AA93" s="16">
        <v>-180.57</v>
      </c>
      <c r="AB93" s="4"/>
      <c r="AC93" s="42">
        <f t="shared" si="2"/>
        <v>331.99100000000061</v>
      </c>
    </row>
    <row r="94" spans="1:29" ht="16.5" thickBot="1">
      <c r="A94" s="1" t="s">
        <v>77</v>
      </c>
      <c r="B94" s="36" t="s">
        <v>163</v>
      </c>
      <c r="C94" s="16"/>
      <c r="D94" s="16" t="s">
        <v>202</v>
      </c>
      <c r="E94" s="16"/>
      <c r="F94" s="16" t="s">
        <v>202</v>
      </c>
      <c r="G94" s="16"/>
      <c r="H94" s="16" t="s">
        <v>202</v>
      </c>
      <c r="I94" s="16"/>
      <c r="J94" s="16" t="s">
        <v>202</v>
      </c>
      <c r="K94" s="16"/>
      <c r="L94" s="16">
        <v>3.93</v>
      </c>
      <c r="M94" s="16"/>
      <c r="N94" s="16">
        <v>7.71</v>
      </c>
      <c r="O94" s="16"/>
      <c r="P94" s="16" t="s">
        <v>202</v>
      </c>
      <c r="Q94" s="16"/>
      <c r="R94" s="16">
        <v>1.74</v>
      </c>
      <c r="S94" s="16"/>
      <c r="T94" s="16">
        <v>8.2212000000000121</v>
      </c>
      <c r="U94" s="16"/>
      <c r="V94" s="16">
        <v>3.3200999999999756</v>
      </c>
      <c r="W94" s="16"/>
      <c r="X94" s="16">
        <v>0.52699999999997005</v>
      </c>
      <c r="Y94" s="16"/>
      <c r="Z94" s="16">
        <v>0</v>
      </c>
      <c r="AA94" s="16"/>
      <c r="AB94" s="4"/>
      <c r="AC94" s="42">
        <f t="shared" si="2"/>
        <v>25.448299999999957</v>
      </c>
    </row>
    <row r="95" spans="1:29" ht="16.5" thickBot="1">
      <c r="A95" s="1" t="s">
        <v>78</v>
      </c>
      <c r="B95" s="36" t="s">
        <v>164</v>
      </c>
      <c r="C95" s="16"/>
      <c r="D95" s="16" t="s">
        <v>202</v>
      </c>
      <c r="E95" s="16"/>
      <c r="F95" s="16" t="s">
        <v>202</v>
      </c>
      <c r="G95" s="16"/>
      <c r="H95" s="16" t="s">
        <v>202</v>
      </c>
      <c r="I95" s="16"/>
      <c r="J95" s="16" t="s">
        <v>202</v>
      </c>
      <c r="K95" s="16"/>
      <c r="L95" s="16">
        <v>111.92</v>
      </c>
      <c r="M95" s="16"/>
      <c r="N95" s="16">
        <v>184.37</v>
      </c>
      <c r="O95" s="16"/>
      <c r="P95" s="16">
        <v>272.39</v>
      </c>
      <c r="Q95" s="16"/>
      <c r="R95" s="16">
        <v>125.46</v>
      </c>
      <c r="S95" s="16"/>
      <c r="T95" s="16">
        <v>145.52150000000003</v>
      </c>
      <c r="U95" s="16"/>
      <c r="V95" s="16">
        <v>3.2146999999997719</v>
      </c>
      <c r="W95" s="16"/>
      <c r="X95" s="16">
        <v>0</v>
      </c>
      <c r="Y95" s="16"/>
      <c r="Z95" s="16">
        <v>0</v>
      </c>
      <c r="AA95" s="16"/>
      <c r="AB95" s="4"/>
      <c r="AC95" s="42">
        <f t="shared" si="2"/>
        <v>842.87619999999993</v>
      </c>
    </row>
    <row r="96" spans="1:29" ht="16.5" thickBot="1">
      <c r="A96" s="1" t="s">
        <v>79</v>
      </c>
      <c r="B96" s="36" t="s">
        <v>99</v>
      </c>
      <c r="C96" s="16">
        <v>2676</v>
      </c>
      <c r="D96" s="16">
        <v>4.3899999999999997</v>
      </c>
      <c r="E96" s="16"/>
      <c r="F96" s="16">
        <v>4.29</v>
      </c>
      <c r="G96" s="16"/>
      <c r="H96" s="16">
        <v>3.99</v>
      </c>
      <c r="I96" s="16"/>
      <c r="J96" s="16">
        <v>9.23</v>
      </c>
      <c r="K96" s="16"/>
      <c r="L96" s="16">
        <v>43.42</v>
      </c>
      <c r="M96" s="16"/>
      <c r="N96" s="16">
        <v>7.59</v>
      </c>
      <c r="O96" s="16">
        <v>-290.95</v>
      </c>
      <c r="P96" s="16">
        <v>85.67</v>
      </c>
      <c r="Q96" s="16"/>
      <c r="R96" s="16">
        <v>183.63</v>
      </c>
      <c r="S96" s="16">
        <v>-276.89</v>
      </c>
      <c r="T96" s="16">
        <v>141.13679999999999</v>
      </c>
      <c r="U96" s="16"/>
      <c r="V96" s="16">
        <v>128.24189999999999</v>
      </c>
      <c r="W96" s="16"/>
      <c r="X96" s="16">
        <v>143.15330000000009</v>
      </c>
      <c r="Y96" s="16"/>
      <c r="Z96" s="16">
        <v>122.70039999999997</v>
      </c>
      <c r="AA96" s="16"/>
      <c r="AB96" s="4"/>
      <c r="AC96" s="42">
        <f t="shared" si="2"/>
        <v>2985.6024000000002</v>
      </c>
    </row>
    <row r="97" spans="1:29" ht="16.5" thickBot="1">
      <c r="A97" s="1" t="s">
        <v>80</v>
      </c>
      <c r="B97" s="36" t="s">
        <v>165</v>
      </c>
      <c r="C97" s="16"/>
      <c r="D97" s="16" t="s">
        <v>202</v>
      </c>
      <c r="E97" s="16">
        <v>-132.83000000000001</v>
      </c>
      <c r="F97" s="16" t="s">
        <v>202</v>
      </c>
      <c r="G97" s="16"/>
      <c r="H97" s="16" t="s">
        <v>202</v>
      </c>
      <c r="I97" s="16"/>
      <c r="J97" s="16">
        <v>0.62</v>
      </c>
      <c r="K97" s="16"/>
      <c r="L97" s="16">
        <v>412.01</v>
      </c>
      <c r="M97" s="16"/>
      <c r="N97" s="16">
        <v>202.04</v>
      </c>
      <c r="O97" s="16">
        <v>-474.01</v>
      </c>
      <c r="P97" s="16">
        <v>683.68</v>
      </c>
      <c r="Q97" s="16">
        <v>-202.04</v>
      </c>
      <c r="R97" s="16">
        <v>528.34</v>
      </c>
      <c r="S97" s="16">
        <f>-683.68-528.34</f>
        <v>-1212.02</v>
      </c>
      <c r="T97" s="16">
        <v>334.5754000000004</v>
      </c>
      <c r="U97" s="16">
        <v>-334.58</v>
      </c>
      <c r="V97" s="16">
        <v>342.47549999999978</v>
      </c>
      <c r="W97" s="16">
        <v>-342.48</v>
      </c>
      <c r="X97" s="16">
        <v>215.18590000000009</v>
      </c>
      <c r="Y97" s="16"/>
      <c r="Z97" s="16">
        <v>1.655599999999896</v>
      </c>
      <c r="AA97" s="16">
        <v>-215.19</v>
      </c>
      <c r="AB97" s="4"/>
      <c r="AC97" s="42">
        <f t="shared" si="2"/>
        <v>-192.56759999999986</v>
      </c>
    </row>
    <row r="98" spans="1:29" ht="16.5" thickBot="1">
      <c r="A98" s="48" t="s">
        <v>81</v>
      </c>
      <c r="B98" s="47" t="s">
        <v>166</v>
      </c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5"/>
      <c r="AC98" s="42">
        <f t="shared" si="2"/>
        <v>0</v>
      </c>
    </row>
    <row r="99" spans="1:29" ht="16.5" thickBot="1">
      <c r="A99" s="1" t="s">
        <v>82</v>
      </c>
      <c r="B99" s="36" t="s">
        <v>167</v>
      </c>
      <c r="C99" s="16"/>
      <c r="D99" s="16">
        <v>3.43</v>
      </c>
      <c r="E99" s="16"/>
      <c r="F99" s="16">
        <v>3.41</v>
      </c>
      <c r="G99" s="16"/>
      <c r="H99" s="16">
        <v>3.07</v>
      </c>
      <c r="I99" s="16"/>
      <c r="J99" s="16">
        <v>3.36</v>
      </c>
      <c r="K99" s="16"/>
      <c r="L99" s="16">
        <v>517.14</v>
      </c>
      <c r="M99" s="16"/>
      <c r="N99" s="16">
        <v>978.83</v>
      </c>
      <c r="O99" s="16">
        <v>-1512.56</v>
      </c>
      <c r="P99" s="16">
        <v>1313.98</v>
      </c>
      <c r="Q99" s="16"/>
      <c r="R99" s="16">
        <v>1181.8599999999999</v>
      </c>
      <c r="S99" s="16"/>
      <c r="T99" s="16">
        <v>1333.4917000000005</v>
      </c>
      <c r="U99" s="16">
        <v>-1313.98</v>
      </c>
      <c r="V99" s="16">
        <v>234.14429999999899</v>
      </c>
      <c r="W99" s="16">
        <v>-1181.8599999999999</v>
      </c>
      <c r="X99" s="16">
        <v>3.769600000001387</v>
      </c>
      <c r="Y99" s="16">
        <v>-1333.49</v>
      </c>
      <c r="Z99" s="16">
        <v>3.5926000000007341</v>
      </c>
      <c r="AA99" s="16"/>
      <c r="AB99" s="4"/>
      <c r="AC99" s="42">
        <f t="shared" si="2"/>
        <v>238.18820000000176</v>
      </c>
    </row>
    <row r="100" spans="1:29" ht="15.75">
      <c r="A100" s="1" t="s">
        <v>83</v>
      </c>
      <c r="B100" s="36" t="s">
        <v>168</v>
      </c>
      <c r="C100" s="16"/>
      <c r="D100" s="16" t="s">
        <v>202</v>
      </c>
      <c r="E100" s="16"/>
      <c r="F100" s="16" t="s">
        <v>202</v>
      </c>
      <c r="G100" s="16"/>
      <c r="H100" s="16" t="s">
        <v>202</v>
      </c>
      <c r="I100" s="16"/>
      <c r="J100" s="16" t="s">
        <v>202</v>
      </c>
      <c r="K100" s="16"/>
      <c r="L100" s="16" t="s">
        <v>202</v>
      </c>
      <c r="M100" s="16"/>
      <c r="N100" s="16" t="s">
        <v>202</v>
      </c>
      <c r="O100" s="16"/>
      <c r="P100" s="16" t="s">
        <v>202</v>
      </c>
      <c r="Q100" s="16"/>
      <c r="R100" s="16" t="s">
        <v>202</v>
      </c>
      <c r="S100" s="16"/>
      <c r="T100" s="16">
        <v>0</v>
      </c>
      <c r="U100" s="16"/>
      <c r="V100" s="16">
        <v>0</v>
      </c>
      <c r="W100" s="16"/>
      <c r="X100" s="16">
        <v>0</v>
      </c>
      <c r="Y100" s="16"/>
      <c r="Z100" s="16">
        <v>0</v>
      </c>
      <c r="AA100" s="16"/>
      <c r="AB100" s="4"/>
      <c r="AC100" s="42">
        <f t="shared" si="2"/>
        <v>0</v>
      </c>
    </row>
    <row r="101" spans="1:29">
      <c r="D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9">
      <c r="D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spans="1:29">
      <c r="D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9">
      <c r="D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9">
      <c r="D105"/>
      <c r="F105"/>
      <c r="G105"/>
      <c r="H105"/>
      <c r="I105"/>
    </row>
    <row r="106" spans="1:29">
      <c r="D106"/>
      <c r="F106"/>
      <c r="G106"/>
      <c r="H106"/>
      <c r="I106"/>
    </row>
    <row r="107" spans="1:29">
      <c r="D107"/>
      <c r="F107"/>
      <c r="G107"/>
      <c r="H107"/>
      <c r="I107"/>
    </row>
    <row r="108" spans="1:29">
      <c r="D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9">
      <c r="D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9">
      <c r="D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AB110"/>
  <sheetViews>
    <sheetView topLeftCell="A4" zoomScale="86" zoomScaleNormal="86" workbookViewId="0">
      <pane xSplit="2" ySplit="7" topLeftCell="S13" activePane="bottomRight" state="frozen"/>
      <selection activeCell="A4" sqref="A4"/>
      <selection pane="topRight" activeCell="C4" sqref="C4"/>
      <selection pane="bottomLeft" activeCell="A11" sqref="A11"/>
      <selection pane="bottomRight" activeCell="S76" sqref="S76"/>
    </sheetView>
  </sheetViews>
  <sheetFormatPr defaultRowHeight="15"/>
  <cols>
    <col min="1" max="1" width="10.28515625" bestFit="1" customWidth="1"/>
    <col min="2" max="2" width="17.7109375" customWidth="1"/>
    <col min="3" max="3" width="17.28515625" style="2" bestFit="1" customWidth="1"/>
    <col min="4" max="4" width="19.85546875" style="2" customWidth="1"/>
    <col min="5" max="5" width="17.28515625" style="2" bestFit="1" customWidth="1"/>
    <col min="6" max="6" width="19.85546875" style="2" customWidth="1"/>
    <col min="7" max="7" width="17.28515625" style="2" bestFit="1" customWidth="1"/>
    <col min="8" max="8" width="19.85546875" style="2" customWidth="1"/>
    <col min="9" max="9" width="17.28515625" bestFit="1" customWidth="1"/>
    <col min="10" max="10" width="17.85546875" customWidth="1"/>
    <col min="11" max="11" width="17.28515625" bestFit="1" customWidth="1"/>
    <col min="12" max="18" width="17.28515625" customWidth="1"/>
    <col min="19" max="27" width="17.85546875" customWidth="1"/>
    <col min="28" max="28" width="15.7109375" customWidth="1"/>
  </cols>
  <sheetData>
    <row r="2" spans="1:28">
      <c r="C2"/>
      <c r="E2"/>
      <c r="F2"/>
      <c r="G2"/>
      <c r="H2"/>
    </row>
    <row r="3" spans="1:28">
      <c r="C3"/>
      <c r="E3"/>
      <c r="F3"/>
      <c r="G3"/>
      <c r="H3"/>
    </row>
    <row r="4" spans="1:28">
      <c r="C4"/>
      <c r="E4"/>
      <c r="F4"/>
      <c r="G4"/>
      <c r="H4"/>
    </row>
    <row r="5" spans="1:28">
      <c r="C5"/>
      <c r="E5"/>
      <c r="F5"/>
      <c r="G5"/>
      <c r="H5"/>
    </row>
    <row r="6" spans="1:28">
      <c r="C6"/>
      <c r="E6"/>
      <c r="F6"/>
      <c r="G6"/>
      <c r="H6"/>
    </row>
    <row r="7" spans="1:28">
      <c r="C7"/>
      <c r="E7"/>
      <c r="F7"/>
      <c r="G7"/>
      <c r="H7"/>
    </row>
    <row r="8" spans="1:28">
      <c r="C8"/>
      <c r="E8"/>
      <c r="F8"/>
      <c r="G8"/>
      <c r="H8"/>
    </row>
    <row r="9" spans="1:28" ht="15.75" thickBot="1">
      <c r="C9"/>
      <c r="E9"/>
      <c r="F9"/>
      <c r="G9"/>
      <c r="H9"/>
    </row>
    <row r="10" spans="1:28" ht="26.25" customHeight="1" thickBot="1">
      <c r="A10" s="55" t="s">
        <v>0</v>
      </c>
      <c r="B10" s="54" t="s">
        <v>96</v>
      </c>
      <c r="C10" s="26">
        <v>41640</v>
      </c>
      <c r="D10" s="3"/>
      <c r="E10" s="26">
        <v>41671</v>
      </c>
      <c r="F10" s="77"/>
      <c r="G10" s="26">
        <v>41699</v>
      </c>
      <c r="H10" s="10"/>
      <c r="I10" s="26">
        <v>41730</v>
      </c>
      <c r="J10" s="10"/>
      <c r="K10" s="26" t="s">
        <v>208</v>
      </c>
      <c r="L10" s="10"/>
      <c r="M10" s="26">
        <v>41791</v>
      </c>
      <c r="N10" s="10"/>
      <c r="O10" s="26">
        <v>41821</v>
      </c>
      <c r="P10" s="10"/>
      <c r="Q10" s="26">
        <v>41852</v>
      </c>
      <c r="R10" s="10"/>
      <c r="S10" s="26">
        <v>41883</v>
      </c>
      <c r="T10" s="10"/>
      <c r="U10" s="26">
        <v>41913</v>
      </c>
      <c r="V10" s="10"/>
      <c r="W10" s="26">
        <v>41944</v>
      </c>
      <c r="X10" s="10"/>
      <c r="Y10" s="26">
        <v>41974</v>
      </c>
      <c r="Z10" s="10"/>
      <c r="AA10" s="10"/>
      <c r="AB10" s="52" t="s">
        <v>84</v>
      </c>
    </row>
    <row r="11" spans="1:28" ht="16.5" thickBot="1">
      <c r="A11" s="1" t="s">
        <v>1</v>
      </c>
      <c r="B11" s="35" t="s">
        <v>97</v>
      </c>
      <c r="C11" s="83">
        <v>1656.55</v>
      </c>
      <c r="D11" s="15"/>
      <c r="E11" s="83">
        <v>1773.05</v>
      </c>
      <c r="F11" s="15">
        <v>-1656.55</v>
      </c>
      <c r="G11" s="83">
        <v>703.87</v>
      </c>
      <c r="H11" s="15">
        <v>-1773.05</v>
      </c>
      <c r="I11" s="83">
        <v>435.47</v>
      </c>
      <c r="J11" s="15">
        <v>-703.87</v>
      </c>
      <c r="K11" s="83">
        <v>1954.79</v>
      </c>
      <c r="L11" s="15">
        <f>-435.47-1954.79</f>
        <v>-2390.2600000000002</v>
      </c>
      <c r="M11" s="70" t="s">
        <v>202</v>
      </c>
      <c r="N11" s="15"/>
      <c r="O11" s="83">
        <v>1002.44</v>
      </c>
      <c r="P11" s="15">
        <f>-443.94-1002.44</f>
        <v>-1446.38</v>
      </c>
      <c r="Q11" s="83">
        <v>1460.93</v>
      </c>
      <c r="R11" s="15"/>
      <c r="S11" s="83">
        <v>1836.12</v>
      </c>
      <c r="T11" s="15">
        <v>-1460.93</v>
      </c>
      <c r="U11" s="83">
        <v>2425.9</v>
      </c>
      <c r="V11" s="15">
        <v>-1836.12</v>
      </c>
      <c r="W11" s="83">
        <v>672.29</v>
      </c>
      <c r="X11" s="15">
        <v>-2425.9</v>
      </c>
      <c r="Y11" s="83">
        <v>1692.55</v>
      </c>
      <c r="Z11" s="15">
        <f>-672.29-1692.65</f>
        <v>-2364.94</v>
      </c>
      <c r="AA11" s="15"/>
      <c r="AB11" s="42">
        <f t="shared" ref="AB11:AB42" si="0">SUM(C11:AA11)</f>
        <v>-444.04000000000019</v>
      </c>
    </row>
    <row r="12" spans="1:28" ht="16.5" thickBot="1">
      <c r="A12" s="1" t="s">
        <v>2</v>
      </c>
      <c r="B12" s="36" t="s">
        <v>98</v>
      </c>
      <c r="C12" s="79">
        <v>3.03</v>
      </c>
      <c r="D12" s="16"/>
      <c r="E12" s="79">
        <v>2.57</v>
      </c>
      <c r="F12" s="16"/>
      <c r="G12" s="79">
        <v>2.75</v>
      </c>
      <c r="H12" s="16"/>
      <c r="I12" s="79">
        <v>24.63</v>
      </c>
      <c r="J12" s="16"/>
      <c r="K12" s="79">
        <v>19.2</v>
      </c>
      <c r="L12" s="16"/>
      <c r="M12" s="79">
        <v>44.84</v>
      </c>
      <c r="N12" s="16"/>
      <c r="O12" s="79">
        <v>331.19</v>
      </c>
      <c r="P12" s="16">
        <v>-1000</v>
      </c>
      <c r="Q12" s="79">
        <v>393.31</v>
      </c>
      <c r="R12" s="16"/>
      <c r="S12" s="79">
        <v>586.91999999999996</v>
      </c>
      <c r="T12" s="16"/>
      <c r="U12" s="79">
        <v>606.97</v>
      </c>
      <c r="V12" s="16">
        <v>-700</v>
      </c>
      <c r="W12" s="79">
        <v>503.91</v>
      </c>
      <c r="X12" s="16"/>
      <c r="Y12" s="79">
        <v>75.510000000000005</v>
      </c>
      <c r="Z12" s="16">
        <v>-1100</v>
      </c>
      <c r="AA12" s="16"/>
      <c r="AB12" s="42">
        <f t="shared" si="0"/>
        <v>-205.16999999999985</v>
      </c>
    </row>
    <row r="13" spans="1:28" ht="16.5" thickBot="1">
      <c r="A13" s="1" t="s">
        <v>3</v>
      </c>
      <c r="B13" s="36" t="s">
        <v>99</v>
      </c>
      <c r="C13" s="79">
        <v>2.74</v>
      </c>
      <c r="D13" s="16"/>
      <c r="E13" s="79">
        <v>2.2599999999999998</v>
      </c>
      <c r="F13" s="16"/>
      <c r="G13" s="79">
        <v>2.4300000000000002</v>
      </c>
      <c r="H13" s="16"/>
      <c r="I13" s="79">
        <v>2.71</v>
      </c>
      <c r="J13" s="16"/>
      <c r="K13" s="79">
        <v>3.45</v>
      </c>
      <c r="L13" s="16"/>
      <c r="M13" s="41" t="s">
        <v>202</v>
      </c>
      <c r="N13" s="16"/>
      <c r="O13" s="79">
        <v>19.82</v>
      </c>
      <c r="P13" s="16"/>
      <c r="Q13" s="79">
        <v>160.05000000000001</v>
      </c>
      <c r="R13" s="16"/>
      <c r="S13" s="79">
        <v>149.62</v>
      </c>
      <c r="T13" s="16"/>
      <c r="U13" s="79">
        <v>19.68</v>
      </c>
      <c r="V13" s="16">
        <v>-200</v>
      </c>
      <c r="W13" s="79">
        <v>3.3</v>
      </c>
      <c r="X13" s="16"/>
      <c r="Y13" s="79">
        <v>3.14</v>
      </c>
      <c r="Z13" s="16"/>
      <c r="AA13" s="16"/>
      <c r="AB13" s="42">
        <f t="shared" si="0"/>
        <v>169.20000000000005</v>
      </c>
    </row>
    <row r="14" spans="1:28" ht="16.5" thickBot="1">
      <c r="A14" s="48" t="s">
        <v>4</v>
      </c>
      <c r="B14" s="47" t="s">
        <v>100</v>
      </c>
      <c r="C14" s="80"/>
      <c r="D14" s="46">
        <v>-3616.57</v>
      </c>
      <c r="E14" s="80"/>
      <c r="F14" s="46"/>
      <c r="G14" s="80"/>
      <c r="H14" s="46"/>
      <c r="I14" s="80"/>
      <c r="J14" s="46"/>
      <c r="K14" s="80"/>
      <c r="L14" s="46"/>
      <c r="M14" s="57" t="s">
        <v>213</v>
      </c>
      <c r="N14" s="46"/>
      <c r="O14" s="80"/>
      <c r="P14" s="46"/>
      <c r="Q14" s="80"/>
      <c r="R14" s="46"/>
      <c r="S14" s="80"/>
      <c r="T14" s="46"/>
      <c r="U14" s="80"/>
      <c r="V14" s="46"/>
      <c r="W14" s="80"/>
      <c r="X14" s="46"/>
      <c r="Y14" s="80"/>
      <c r="Z14" s="46"/>
      <c r="AA14" s="46"/>
      <c r="AB14" s="42">
        <f t="shared" si="0"/>
        <v>-3616.57</v>
      </c>
    </row>
    <row r="15" spans="1:28" ht="16.5" thickBot="1">
      <c r="A15" s="48" t="s">
        <v>5</v>
      </c>
      <c r="B15" s="47" t="s">
        <v>207</v>
      </c>
      <c r="C15" s="57" t="s">
        <v>202</v>
      </c>
      <c r="D15" s="46"/>
      <c r="E15" s="80">
        <v>80.03</v>
      </c>
      <c r="F15" s="46"/>
      <c r="G15" s="80">
        <v>92.93</v>
      </c>
      <c r="H15" s="46"/>
      <c r="I15" s="80">
        <v>169.44</v>
      </c>
      <c r="J15" s="46"/>
      <c r="K15" s="80">
        <v>219.09</v>
      </c>
      <c r="L15" s="46"/>
      <c r="M15" s="80">
        <v>807.34</v>
      </c>
      <c r="N15" s="46"/>
      <c r="O15" s="80">
        <v>845.28</v>
      </c>
      <c r="P15" s="46">
        <f>-2200-1200-845.28</f>
        <v>-4245.28</v>
      </c>
      <c r="Q15" s="80">
        <v>838.59</v>
      </c>
      <c r="R15" s="46"/>
      <c r="S15" s="80">
        <v>1219.77</v>
      </c>
      <c r="T15" s="46">
        <v>-838.59</v>
      </c>
      <c r="U15" s="80">
        <v>456.28</v>
      </c>
      <c r="V15" s="46">
        <f>-1219.77-456.28</f>
        <v>-1676.05</v>
      </c>
      <c r="W15" s="80">
        <v>1437.63</v>
      </c>
      <c r="X15" s="46">
        <v>-1437.63</v>
      </c>
      <c r="Y15" s="80">
        <v>2017.98</v>
      </c>
      <c r="Z15" s="46">
        <v>-2017.98</v>
      </c>
      <c r="AA15" s="46"/>
      <c r="AB15" s="42">
        <f t="shared" si="0"/>
        <v>-2031.17</v>
      </c>
    </row>
    <row r="16" spans="1:28" ht="16.5" thickBot="1">
      <c r="A16" s="1" t="s">
        <v>6</v>
      </c>
      <c r="B16" s="36" t="s">
        <v>101</v>
      </c>
      <c r="C16" s="41" t="s">
        <v>202</v>
      </c>
      <c r="D16" s="16"/>
      <c r="E16" s="41" t="s">
        <v>202</v>
      </c>
      <c r="F16" s="16"/>
      <c r="G16" s="79">
        <v>0.64</v>
      </c>
      <c r="H16" s="16"/>
      <c r="I16" s="79">
        <v>17.66</v>
      </c>
      <c r="J16" s="16">
        <v>-2650</v>
      </c>
      <c r="K16" s="79">
        <v>408.95</v>
      </c>
      <c r="L16" s="16"/>
      <c r="M16" s="79">
        <v>426.12</v>
      </c>
      <c r="N16" s="16"/>
      <c r="O16" s="79">
        <v>526.02</v>
      </c>
      <c r="P16" s="16">
        <v>-853</v>
      </c>
      <c r="Q16" s="79">
        <v>647.75</v>
      </c>
      <c r="R16" s="16"/>
      <c r="S16" s="79">
        <v>460.13</v>
      </c>
      <c r="T16" s="16"/>
      <c r="U16" s="79">
        <v>265.8</v>
      </c>
      <c r="V16" s="16"/>
      <c r="W16" s="79">
        <v>0.77</v>
      </c>
      <c r="X16" s="16">
        <v>-2000</v>
      </c>
      <c r="Y16" s="41" t="s">
        <v>202</v>
      </c>
      <c r="Z16" s="16"/>
      <c r="AA16" s="16"/>
      <c r="AB16" s="42">
        <f t="shared" si="0"/>
        <v>-2749.16</v>
      </c>
    </row>
    <row r="17" spans="1:28" ht="16.5" thickBot="1">
      <c r="A17" s="1" t="s">
        <v>7</v>
      </c>
      <c r="B17" s="36" t="s">
        <v>102</v>
      </c>
      <c r="C17" s="79">
        <v>51</v>
      </c>
      <c r="D17" s="16"/>
      <c r="E17" s="79">
        <v>154.57</v>
      </c>
      <c r="F17" s="16"/>
      <c r="G17" s="79">
        <v>682.19</v>
      </c>
      <c r="H17" s="16"/>
      <c r="I17" s="79">
        <v>1231.04</v>
      </c>
      <c r="J17" s="16"/>
      <c r="K17" s="79">
        <v>1185.69</v>
      </c>
      <c r="L17" s="16"/>
      <c r="M17" s="79">
        <v>663.2</v>
      </c>
      <c r="N17" s="16"/>
      <c r="O17" s="79">
        <v>800.58</v>
      </c>
      <c r="P17" s="16">
        <v>-10000</v>
      </c>
      <c r="Q17" s="79">
        <v>1763.31</v>
      </c>
      <c r="R17" s="16"/>
      <c r="S17" s="79">
        <v>3813.34</v>
      </c>
      <c r="T17" s="16"/>
      <c r="U17" s="79">
        <v>346.74</v>
      </c>
      <c r="V17" s="16">
        <v>-4500</v>
      </c>
      <c r="W17" s="79">
        <v>183.2</v>
      </c>
      <c r="X17" s="16"/>
      <c r="Y17" s="79">
        <v>14.41</v>
      </c>
      <c r="Z17" s="16"/>
      <c r="AA17" s="16"/>
      <c r="AB17" s="42">
        <f t="shared" si="0"/>
        <v>-3610.7299999999996</v>
      </c>
    </row>
    <row r="18" spans="1:28" ht="16.5" thickBot="1">
      <c r="A18" s="1" t="s">
        <v>8</v>
      </c>
      <c r="B18" s="36" t="s">
        <v>103</v>
      </c>
      <c r="C18" s="79">
        <v>3.87</v>
      </c>
      <c r="D18" s="16"/>
      <c r="E18" s="79">
        <v>3.21</v>
      </c>
      <c r="F18" s="16"/>
      <c r="G18" s="79">
        <v>3.55</v>
      </c>
      <c r="H18" s="16"/>
      <c r="I18" s="79">
        <v>3.86</v>
      </c>
      <c r="J18" s="16"/>
      <c r="K18" s="79">
        <v>59.33</v>
      </c>
      <c r="L18" s="16"/>
      <c r="M18" s="79">
        <v>42.04</v>
      </c>
      <c r="N18" s="16"/>
      <c r="O18" s="79">
        <v>44.04</v>
      </c>
      <c r="P18" s="16"/>
      <c r="Q18" s="79">
        <v>127.32</v>
      </c>
      <c r="R18" s="16"/>
      <c r="S18" s="79">
        <v>21.9</v>
      </c>
      <c r="T18" s="16"/>
      <c r="U18" s="79">
        <v>7.9</v>
      </c>
      <c r="V18" s="16"/>
      <c r="W18" s="79">
        <v>4.04</v>
      </c>
      <c r="X18" s="16"/>
      <c r="Y18" s="79">
        <v>3.81</v>
      </c>
      <c r="Z18" s="16"/>
      <c r="AA18" s="16"/>
      <c r="AB18" s="42">
        <f t="shared" si="0"/>
        <v>324.86999999999995</v>
      </c>
    </row>
    <row r="19" spans="1:28" ht="16.5" thickBot="1">
      <c r="A19" s="1" t="s">
        <v>9</v>
      </c>
      <c r="B19" s="36" t="s">
        <v>104</v>
      </c>
      <c r="C19" s="79">
        <v>2.91</v>
      </c>
      <c r="D19" s="16"/>
      <c r="E19" s="79">
        <v>2.4700000000000002</v>
      </c>
      <c r="F19" s="16"/>
      <c r="G19" s="79">
        <v>2.6</v>
      </c>
      <c r="H19" s="16"/>
      <c r="I19" s="79">
        <v>11.42</v>
      </c>
      <c r="J19" s="16"/>
      <c r="K19" s="79">
        <v>116.87</v>
      </c>
      <c r="L19" s="16"/>
      <c r="M19" s="79">
        <v>156.63</v>
      </c>
      <c r="N19" s="16">
        <f>-88.73-136.27</f>
        <v>-225</v>
      </c>
      <c r="O19" s="79">
        <v>155.59</v>
      </c>
      <c r="P19" s="16"/>
      <c r="Q19" s="79">
        <v>148.93</v>
      </c>
      <c r="R19" s="16"/>
      <c r="S19" s="79">
        <v>95.69</v>
      </c>
      <c r="T19" s="16"/>
      <c r="U19" s="79">
        <v>71.760000000000005</v>
      </c>
      <c r="V19" s="16"/>
      <c r="W19" s="79">
        <v>11.47</v>
      </c>
      <c r="X19" s="16"/>
      <c r="Y19" s="79">
        <v>2.82</v>
      </c>
      <c r="Z19" s="16">
        <v>-639.79999999999995</v>
      </c>
      <c r="AA19" s="16"/>
      <c r="AB19" s="42">
        <f t="shared" si="0"/>
        <v>-85.639999999999873</v>
      </c>
    </row>
    <row r="20" spans="1:28" ht="16.5" thickBot="1">
      <c r="A20" s="48" t="s">
        <v>10</v>
      </c>
      <c r="B20" s="47" t="s">
        <v>105</v>
      </c>
      <c r="C20" s="80">
        <v>4.24</v>
      </c>
      <c r="D20" s="46"/>
      <c r="E20" s="80">
        <v>3</v>
      </c>
      <c r="F20" s="46"/>
      <c r="G20" s="80">
        <v>4.3600000000000003</v>
      </c>
      <c r="H20" s="46"/>
      <c r="I20" s="80">
        <v>3.6</v>
      </c>
      <c r="J20" s="46"/>
      <c r="K20" s="80">
        <v>53.67</v>
      </c>
      <c r="L20" s="46"/>
      <c r="M20" s="80">
        <v>212.48</v>
      </c>
      <c r="N20" s="46"/>
      <c r="O20" s="80">
        <v>251.74</v>
      </c>
      <c r="P20" s="46">
        <v>-266.08</v>
      </c>
      <c r="Q20" s="80"/>
      <c r="R20" s="46"/>
      <c r="S20" s="80"/>
      <c r="T20" s="46">
        <v>-670.07</v>
      </c>
      <c r="U20" s="80"/>
      <c r="V20" s="46"/>
      <c r="W20" s="80"/>
      <c r="X20" s="46"/>
      <c r="Y20" s="80"/>
      <c r="Z20" s="46"/>
      <c r="AA20" s="46"/>
      <c r="AB20" s="42">
        <f t="shared" si="0"/>
        <v>-403.06</v>
      </c>
    </row>
    <row r="21" spans="1:28" ht="16.5" thickBot="1">
      <c r="A21" s="48" t="s">
        <v>11</v>
      </c>
      <c r="B21" s="47" t="s">
        <v>106</v>
      </c>
      <c r="C21" s="80">
        <v>0.97</v>
      </c>
      <c r="D21" s="46"/>
      <c r="E21" s="80">
        <v>0.26</v>
      </c>
      <c r="F21" s="46"/>
      <c r="G21" s="80">
        <v>0.23</v>
      </c>
      <c r="H21" s="46"/>
      <c r="I21" s="80">
        <v>12.28</v>
      </c>
      <c r="J21" s="46"/>
      <c r="K21" s="80">
        <v>173.35</v>
      </c>
      <c r="L21" s="46"/>
      <c r="M21" s="80">
        <v>163.66</v>
      </c>
      <c r="N21" s="46">
        <v>-173.35</v>
      </c>
      <c r="O21" s="80">
        <v>499.06</v>
      </c>
      <c r="P21" s="46">
        <v>-280.54000000000002</v>
      </c>
      <c r="Q21" s="80"/>
      <c r="R21" s="46"/>
      <c r="S21" s="80"/>
      <c r="T21" s="46"/>
      <c r="U21" s="80"/>
      <c r="V21" s="46"/>
      <c r="W21" s="80"/>
      <c r="X21" s="46"/>
      <c r="Y21" s="80"/>
      <c r="Z21" s="46"/>
      <c r="AA21" s="46"/>
      <c r="AB21" s="42">
        <f t="shared" si="0"/>
        <v>395.92</v>
      </c>
    </row>
    <row r="22" spans="1:28" ht="16.5" thickBot="1">
      <c r="A22" s="1" t="s">
        <v>12</v>
      </c>
      <c r="B22" s="36" t="s">
        <v>107</v>
      </c>
      <c r="C22" s="79">
        <v>8.31</v>
      </c>
      <c r="D22" s="16"/>
      <c r="E22" s="79">
        <v>8</v>
      </c>
      <c r="F22" s="16"/>
      <c r="G22" s="79">
        <v>287.8</v>
      </c>
      <c r="H22" s="16">
        <f>-16.31-1685.13</f>
        <v>-1701.44</v>
      </c>
      <c r="I22" s="79">
        <v>466.74</v>
      </c>
      <c r="J22" s="16"/>
      <c r="K22" s="79">
        <v>449.42</v>
      </c>
      <c r="L22" s="16">
        <v>-754.54</v>
      </c>
      <c r="M22" s="79">
        <v>191.71</v>
      </c>
      <c r="N22" s="16">
        <v>-641.13</v>
      </c>
      <c r="O22" s="79">
        <v>218.2</v>
      </c>
      <c r="P22" s="16"/>
      <c r="Q22" s="79">
        <v>259.7</v>
      </c>
      <c r="R22" s="16"/>
      <c r="S22" s="79">
        <v>416.45</v>
      </c>
      <c r="T22" s="16">
        <v>-477.9</v>
      </c>
      <c r="U22" s="79">
        <v>1063.25</v>
      </c>
      <c r="V22" s="16"/>
      <c r="W22" s="79">
        <v>2112.04</v>
      </c>
      <c r="X22" s="16">
        <v>-1479.7</v>
      </c>
      <c r="Y22" s="79">
        <v>773.88</v>
      </c>
      <c r="Z22" s="16"/>
      <c r="AA22" s="16"/>
      <c r="AB22" s="42">
        <f t="shared" si="0"/>
        <v>1200.7900000000004</v>
      </c>
    </row>
    <row r="23" spans="1:28" ht="16.5" thickBot="1">
      <c r="A23" s="1" t="s">
        <v>13</v>
      </c>
      <c r="B23" s="36" t="s">
        <v>108</v>
      </c>
      <c r="C23" s="79">
        <v>15.94</v>
      </c>
      <c r="D23" s="16"/>
      <c r="E23" s="79">
        <v>13.36</v>
      </c>
      <c r="F23" s="16"/>
      <c r="G23" s="79">
        <v>14.43</v>
      </c>
      <c r="H23" s="16"/>
      <c r="I23" s="79">
        <v>22.03</v>
      </c>
      <c r="J23" s="16"/>
      <c r="K23" s="79">
        <v>218.58</v>
      </c>
      <c r="L23" s="16"/>
      <c r="M23" s="79">
        <v>586.19000000000005</v>
      </c>
      <c r="N23" s="16"/>
      <c r="O23" s="79">
        <v>1153.83</v>
      </c>
      <c r="P23" s="16"/>
      <c r="Q23" s="79">
        <v>1204.56</v>
      </c>
      <c r="R23" s="16">
        <f>-1958.6-516.64</f>
        <v>-2475.2399999999998</v>
      </c>
      <c r="S23" s="79">
        <v>1644.87</v>
      </c>
      <c r="T23" s="16"/>
      <c r="U23" s="79">
        <v>286.70999999999998</v>
      </c>
      <c r="V23" s="16">
        <v>-2849.43</v>
      </c>
      <c r="W23" s="79">
        <v>19.059999999999999</v>
      </c>
      <c r="X23" s="16"/>
      <c r="Y23" s="79">
        <v>13.02</v>
      </c>
      <c r="Z23" s="16"/>
      <c r="AA23" s="16"/>
      <c r="AB23" s="42">
        <f t="shared" si="0"/>
        <v>-132.08999999999961</v>
      </c>
    </row>
    <row r="24" spans="1:28" ht="16.5" thickBot="1">
      <c r="A24" s="1" t="s">
        <v>14</v>
      </c>
      <c r="B24" s="36" t="s">
        <v>109</v>
      </c>
      <c r="C24" s="79">
        <v>1591.5</v>
      </c>
      <c r="D24" s="16"/>
      <c r="E24" s="79">
        <v>975.72</v>
      </c>
      <c r="F24" s="16">
        <f>-1591.5-975.72</f>
        <v>-2567.2200000000003</v>
      </c>
      <c r="G24" s="79">
        <v>101.11</v>
      </c>
      <c r="H24" s="16">
        <v>-101.11</v>
      </c>
      <c r="I24" s="79">
        <v>1615.53</v>
      </c>
      <c r="J24" s="16"/>
      <c r="K24" s="79">
        <v>1958.76</v>
      </c>
      <c r="L24" s="16">
        <v>-1615.53</v>
      </c>
      <c r="M24" s="79">
        <v>1527.81</v>
      </c>
      <c r="N24" s="16">
        <v>-1958.86</v>
      </c>
      <c r="O24" s="79">
        <v>1676.52</v>
      </c>
      <c r="P24" s="16"/>
      <c r="Q24" s="79">
        <v>1404.3</v>
      </c>
      <c r="R24" s="16">
        <f>-1676.52-1842.29-1404.3</f>
        <v>-4923.1099999999997</v>
      </c>
      <c r="S24" s="79">
        <v>2032.37</v>
      </c>
      <c r="T24" s="16"/>
      <c r="U24" s="79">
        <v>3473.74</v>
      </c>
      <c r="V24" s="16">
        <v>-2032.47</v>
      </c>
      <c r="W24" s="79">
        <v>538.49</v>
      </c>
      <c r="X24" s="16">
        <v>-3473.74</v>
      </c>
      <c r="Y24" s="79">
        <v>28.03</v>
      </c>
      <c r="Z24" s="16">
        <f>-538.49-28.03</f>
        <v>-566.52</v>
      </c>
      <c r="AA24" s="16"/>
      <c r="AB24" s="42">
        <f t="shared" si="0"/>
        <v>-314.68000000000052</v>
      </c>
    </row>
    <row r="25" spans="1:28" ht="16.5" thickBot="1">
      <c r="A25" s="48" t="s">
        <v>15</v>
      </c>
      <c r="B25" s="47" t="s">
        <v>110</v>
      </c>
      <c r="C25" s="80">
        <v>427.19</v>
      </c>
      <c r="D25" s="46"/>
      <c r="E25" s="80">
        <v>423.23</v>
      </c>
      <c r="F25" s="46"/>
      <c r="G25" s="80">
        <v>431.68</v>
      </c>
      <c r="H25" s="46"/>
      <c r="I25" s="80">
        <v>543.59</v>
      </c>
      <c r="J25" s="46"/>
      <c r="K25" s="80">
        <v>557.61</v>
      </c>
      <c r="L25" s="46">
        <v>-6500</v>
      </c>
      <c r="M25" s="80">
        <v>580.16999999999996</v>
      </c>
      <c r="N25" s="46"/>
      <c r="O25" s="80">
        <v>510.27</v>
      </c>
      <c r="P25" s="46"/>
      <c r="Q25" s="80">
        <v>1530.88</v>
      </c>
      <c r="R25" s="46"/>
      <c r="S25" s="80">
        <v>1915.53</v>
      </c>
      <c r="T25" s="46"/>
      <c r="U25" s="80">
        <v>704.09</v>
      </c>
      <c r="V25" s="46"/>
      <c r="W25" s="80">
        <v>581.47</v>
      </c>
      <c r="X25" s="46"/>
      <c r="Y25" s="80">
        <v>548.59</v>
      </c>
      <c r="Z25" s="46"/>
      <c r="AA25" s="46"/>
      <c r="AB25" s="42">
        <f t="shared" si="0"/>
        <v>2254.3000000000002</v>
      </c>
    </row>
    <row r="26" spans="1:28" ht="16.5" thickBot="1">
      <c r="A26" s="1" t="s">
        <v>16</v>
      </c>
      <c r="B26" s="36" t="s">
        <v>111</v>
      </c>
      <c r="C26" s="41" t="s">
        <v>202</v>
      </c>
      <c r="D26" s="16"/>
      <c r="E26" s="41" t="s">
        <v>202</v>
      </c>
      <c r="F26" s="16"/>
      <c r="G26" s="41" t="s">
        <v>202</v>
      </c>
      <c r="H26" s="16"/>
      <c r="I26" s="41" t="s">
        <v>202</v>
      </c>
      <c r="J26" s="16"/>
      <c r="K26" s="79">
        <v>54.21</v>
      </c>
      <c r="L26" s="16"/>
      <c r="M26" s="79">
        <v>414.97</v>
      </c>
      <c r="N26" s="16"/>
      <c r="O26" s="79">
        <v>938.99</v>
      </c>
      <c r="P26" s="16"/>
      <c r="Q26" s="79">
        <v>615.86</v>
      </c>
      <c r="R26" s="16"/>
      <c r="S26" s="79">
        <v>827.65</v>
      </c>
      <c r="T26" s="16"/>
      <c r="U26" s="79">
        <v>107.88</v>
      </c>
      <c r="V26" s="16"/>
      <c r="W26" s="79">
        <v>4.12</v>
      </c>
      <c r="X26" s="16"/>
      <c r="Y26" s="41" t="s">
        <v>202</v>
      </c>
      <c r="Z26" s="16"/>
      <c r="AA26" s="16"/>
      <c r="AB26" s="42">
        <f t="shared" si="0"/>
        <v>2963.6800000000003</v>
      </c>
    </row>
    <row r="27" spans="1:28" ht="16.5" thickBot="1">
      <c r="A27" s="1" t="s">
        <v>17</v>
      </c>
      <c r="B27" s="36" t="s">
        <v>112</v>
      </c>
      <c r="C27" s="79">
        <v>53.46</v>
      </c>
      <c r="D27" s="16"/>
      <c r="E27" s="41" t="s">
        <v>202</v>
      </c>
      <c r="F27" s="16"/>
      <c r="G27" s="41" t="s">
        <v>202</v>
      </c>
      <c r="H27" s="16"/>
      <c r="I27" s="79">
        <v>0.92</v>
      </c>
      <c r="J27" s="16"/>
      <c r="K27" s="79">
        <v>455.67</v>
      </c>
      <c r="L27" s="16">
        <v>-2000</v>
      </c>
      <c r="M27" s="79">
        <v>705.37</v>
      </c>
      <c r="N27" s="16"/>
      <c r="O27" s="79">
        <v>755.84</v>
      </c>
      <c r="P27" s="16"/>
      <c r="Q27" s="79">
        <v>800.51</v>
      </c>
      <c r="R27" s="16">
        <v>-750</v>
      </c>
      <c r="S27" s="79">
        <v>744.91</v>
      </c>
      <c r="T27" s="16">
        <v>-760</v>
      </c>
      <c r="U27" s="79">
        <v>91.71</v>
      </c>
      <c r="V27" s="16"/>
      <c r="W27" s="79">
        <v>63.42</v>
      </c>
      <c r="X27" s="16"/>
      <c r="Y27" s="41" t="s">
        <v>202</v>
      </c>
      <c r="Z27" s="16"/>
      <c r="AA27" s="16"/>
      <c r="AB27" s="42">
        <f t="shared" si="0"/>
        <v>161.80999999999995</v>
      </c>
    </row>
    <row r="28" spans="1:28" ht="16.5" thickBot="1">
      <c r="A28" s="1" t="s">
        <v>18</v>
      </c>
      <c r="B28" s="36" t="s">
        <v>113</v>
      </c>
      <c r="C28" s="41" t="s">
        <v>202</v>
      </c>
      <c r="D28" s="16"/>
      <c r="E28" s="41" t="s">
        <v>202</v>
      </c>
      <c r="F28" s="16"/>
      <c r="G28" s="41" t="s">
        <v>202</v>
      </c>
      <c r="H28" s="16"/>
      <c r="I28" s="41" t="s">
        <v>202</v>
      </c>
      <c r="J28" s="16"/>
      <c r="K28" s="79">
        <v>21.36</v>
      </c>
      <c r="L28" s="16"/>
      <c r="M28" s="79">
        <v>214.91</v>
      </c>
      <c r="N28" s="16"/>
      <c r="O28" s="79">
        <v>106.75</v>
      </c>
      <c r="P28" s="16"/>
      <c r="Q28" s="79">
        <v>31.29</v>
      </c>
      <c r="R28" s="16"/>
      <c r="S28" s="79">
        <v>42.34</v>
      </c>
      <c r="T28" s="16">
        <v>-550</v>
      </c>
      <c r="U28" s="79">
        <v>86.36</v>
      </c>
      <c r="V28" s="16"/>
      <c r="W28" s="79">
        <v>3.89</v>
      </c>
      <c r="X28" s="16"/>
      <c r="Y28" s="79">
        <v>0.11</v>
      </c>
      <c r="Z28" s="16"/>
      <c r="AA28" s="16"/>
      <c r="AB28" s="42">
        <f t="shared" si="0"/>
        <v>-42.990000000000023</v>
      </c>
    </row>
    <row r="29" spans="1:28" ht="16.5" thickBot="1">
      <c r="A29" s="1" t="s">
        <v>19</v>
      </c>
      <c r="B29" s="36" t="s">
        <v>114</v>
      </c>
      <c r="C29" s="41" t="s">
        <v>202</v>
      </c>
      <c r="D29" s="16"/>
      <c r="E29" s="41" t="s">
        <v>202</v>
      </c>
      <c r="F29" s="16"/>
      <c r="G29" s="41" t="s">
        <v>202</v>
      </c>
      <c r="H29" s="16"/>
      <c r="I29" s="41" t="s">
        <v>202</v>
      </c>
      <c r="J29" s="16"/>
      <c r="K29" s="79">
        <v>103.86</v>
      </c>
      <c r="L29" s="16"/>
      <c r="M29" s="79">
        <v>620.64</v>
      </c>
      <c r="N29" s="16">
        <v>-103.86</v>
      </c>
      <c r="O29" s="79">
        <v>1034.1099999999999</v>
      </c>
      <c r="P29" s="16">
        <v>-620.64</v>
      </c>
      <c r="Q29" s="79">
        <v>845.73</v>
      </c>
      <c r="R29" s="16">
        <v>-1034.1099999999999</v>
      </c>
      <c r="S29" s="79">
        <v>656.66</v>
      </c>
      <c r="T29" s="16"/>
      <c r="U29" s="79">
        <v>381.74</v>
      </c>
      <c r="V29" s="16"/>
      <c r="W29" s="79">
        <v>103.46</v>
      </c>
      <c r="X29" s="16">
        <v>-1987.59</v>
      </c>
      <c r="Y29" s="41" t="s">
        <v>202</v>
      </c>
      <c r="Z29" s="16"/>
      <c r="AA29" s="16"/>
      <c r="AB29" s="42">
        <f t="shared" si="0"/>
        <v>0</v>
      </c>
    </row>
    <row r="30" spans="1:28" ht="16.5" thickBot="1">
      <c r="A30" s="48" t="s">
        <v>20</v>
      </c>
      <c r="B30" s="47" t="s">
        <v>206</v>
      </c>
      <c r="C30" s="80"/>
      <c r="D30" s="46">
        <v>-3758.71</v>
      </c>
      <c r="E30" s="80"/>
      <c r="F30" s="46"/>
      <c r="G30" s="80"/>
      <c r="H30" s="46"/>
      <c r="I30" s="80"/>
      <c r="J30" s="46"/>
      <c r="K30" s="80"/>
      <c r="L30" s="46"/>
      <c r="M30" s="80"/>
      <c r="N30" s="46"/>
      <c r="O30" s="80"/>
      <c r="P30" s="46"/>
      <c r="Q30" s="80"/>
      <c r="R30" s="46"/>
      <c r="S30" s="80"/>
      <c r="T30" s="46"/>
      <c r="U30" s="80"/>
      <c r="V30" s="46"/>
      <c r="W30" s="80"/>
      <c r="X30" s="46"/>
      <c r="Y30" s="80"/>
      <c r="Z30" s="46"/>
      <c r="AA30" s="46"/>
      <c r="AB30" s="42">
        <f t="shared" si="0"/>
        <v>-3758.71</v>
      </c>
    </row>
    <row r="31" spans="1:28" ht="16.5" thickBot="1">
      <c r="A31" s="1" t="s">
        <v>21</v>
      </c>
      <c r="B31" s="36" t="s">
        <v>115</v>
      </c>
      <c r="C31" s="79">
        <v>2.11</v>
      </c>
      <c r="D31" s="16"/>
      <c r="E31" s="79">
        <v>1.74</v>
      </c>
      <c r="F31" s="16"/>
      <c r="G31" s="79">
        <v>1.92</v>
      </c>
      <c r="H31" s="16"/>
      <c r="I31" s="79">
        <v>2.1800000000000002</v>
      </c>
      <c r="J31" s="16"/>
      <c r="K31" s="79">
        <v>98.42</v>
      </c>
      <c r="L31" s="16"/>
      <c r="M31" s="79">
        <v>946.92</v>
      </c>
      <c r="N31" s="16"/>
      <c r="O31" s="79">
        <v>1240.83</v>
      </c>
      <c r="P31" s="16">
        <v>-1647.22</v>
      </c>
      <c r="Q31" s="79">
        <v>691.43</v>
      </c>
      <c r="R31" s="16"/>
      <c r="S31" s="79">
        <v>618.65</v>
      </c>
      <c r="T31" s="16">
        <v>-1932.26</v>
      </c>
      <c r="U31" s="79">
        <v>156.4</v>
      </c>
      <c r="V31" s="16"/>
      <c r="W31" s="79">
        <v>115.04</v>
      </c>
      <c r="X31" s="16"/>
      <c r="Y31" s="79">
        <v>24.16</v>
      </c>
      <c r="Z31" s="16"/>
      <c r="AA31" s="16"/>
      <c r="AB31" s="42">
        <f t="shared" si="0"/>
        <v>320.32000000000005</v>
      </c>
    </row>
    <row r="32" spans="1:28" ht="16.5" thickBot="1">
      <c r="A32" s="1" t="s">
        <v>22</v>
      </c>
      <c r="B32" s="36" t="s">
        <v>116</v>
      </c>
      <c r="C32" s="79">
        <v>12.45</v>
      </c>
      <c r="D32" s="16"/>
      <c r="E32" s="79">
        <v>10.44</v>
      </c>
      <c r="F32" s="16"/>
      <c r="G32" s="79">
        <v>30.6</v>
      </c>
      <c r="H32" s="16">
        <f>-10.44-12.45-30.6-43.5</f>
        <v>-96.990000000000009</v>
      </c>
      <c r="I32" s="79">
        <v>313.27999999999997</v>
      </c>
      <c r="J32" s="16"/>
      <c r="K32" s="79">
        <v>253.82</v>
      </c>
      <c r="L32" s="16"/>
      <c r="M32" s="79">
        <v>540.15</v>
      </c>
      <c r="N32" s="16"/>
      <c r="O32" s="79">
        <v>897.83</v>
      </c>
      <c r="P32" s="16">
        <f>-253.82-313.28-540.15</f>
        <v>-1107.25</v>
      </c>
      <c r="Q32" s="79">
        <v>861.84</v>
      </c>
      <c r="R32" s="16">
        <v>-897.83</v>
      </c>
      <c r="S32" s="79">
        <v>979.96</v>
      </c>
      <c r="T32" s="16">
        <f>-861.84-979.96</f>
        <v>-1841.8000000000002</v>
      </c>
      <c r="U32" s="79">
        <v>1036.8800000000001</v>
      </c>
      <c r="V32" s="16"/>
      <c r="W32" s="79">
        <v>54.05</v>
      </c>
      <c r="X32" s="16">
        <v>-1036.8800000000001</v>
      </c>
      <c r="Y32" s="79">
        <v>57.23</v>
      </c>
      <c r="Z32" s="16">
        <f>-54.05-57.23</f>
        <v>-111.28</v>
      </c>
      <c r="AA32" s="16"/>
      <c r="AB32" s="42">
        <f t="shared" si="0"/>
        <v>-43.500000000000057</v>
      </c>
    </row>
    <row r="33" spans="1:28" ht="16.5" thickBot="1">
      <c r="A33" s="1" t="s">
        <v>23</v>
      </c>
      <c r="B33" s="36" t="s">
        <v>117</v>
      </c>
      <c r="C33" s="79">
        <v>3.86</v>
      </c>
      <c r="D33" s="16"/>
      <c r="E33" s="79">
        <v>231.41</v>
      </c>
      <c r="F33" s="16"/>
      <c r="G33" s="79">
        <v>239.16</v>
      </c>
      <c r="H33" s="16">
        <v>-2500</v>
      </c>
      <c r="I33" s="79">
        <v>3.87</v>
      </c>
      <c r="J33" s="16"/>
      <c r="K33" s="79">
        <v>900.6</v>
      </c>
      <c r="L33" s="16"/>
      <c r="M33" s="79">
        <v>354.22</v>
      </c>
      <c r="N33" s="16">
        <v>-900</v>
      </c>
      <c r="O33" s="79">
        <v>704.82</v>
      </c>
      <c r="P33" s="16"/>
      <c r="Q33" s="79">
        <v>578.41999999999996</v>
      </c>
      <c r="R33" s="16">
        <v>-5105.1499999999996</v>
      </c>
      <c r="S33" s="79">
        <v>335.75</v>
      </c>
      <c r="T33" s="16"/>
      <c r="U33" s="79">
        <v>85.68</v>
      </c>
      <c r="V33" s="16"/>
      <c r="W33" s="79">
        <v>3.99</v>
      </c>
      <c r="X33" s="16"/>
      <c r="Y33" s="79">
        <v>4.0199999999999996</v>
      </c>
      <c r="Z33" s="16">
        <v>-1700</v>
      </c>
      <c r="AA33" s="16"/>
      <c r="AB33" s="42">
        <f t="shared" si="0"/>
        <v>-6759.3499999999985</v>
      </c>
    </row>
    <row r="34" spans="1:28" ht="16.5" thickBot="1">
      <c r="A34" s="1" t="s">
        <v>24</v>
      </c>
      <c r="B34" s="36" t="s">
        <v>118</v>
      </c>
      <c r="C34" s="79">
        <v>3.55</v>
      </c>
      <c r="D34" s="16"/>
      <c r="E34" s="79">
        <v>2.97</v>
      </c>
      <c r="F34" s="16"/>
      <c r="G34" s="79">
        <v>3.23</v>
      </c>
      <c r="H34" s="16"/>
      <c r="I34" s="79">
        <v>3.6</v>
      </c>
      <c r="J34" s="16"/>
      <c r="K34" s="79">
        <v>80.81</v>
      </c>
      <c r="L34" s="16"/>
      <c r="M34" s="79">
        <v>144.83000000000001</v>
      </c>
      <c r="N34" s="16"/>
      <c r="O34" s="79">
        <v>204.28</v>
      </c>
      <c r="P34" s="16"/>
      <c r="Q34" s="79">
        <v>214.71</v>
      </c>
      <c r="R34" s="16"/>
      <c r="S34" s="79">
        <v>280.22000000000003</v>
      </c>
      <c r="T34" s="16"/>
      <c r="U34" s="79">
        <v>136.30000000000001</v>
      </c>
      <c r="V34" s="16"/>
      <c r="W34" s="79">
        <v>3.7</v>
      </c>
      <c r="X34" s="16"/>
      <c r="Y34" s="79">
        <v>3.54</v>
      </c>
      <c r="Z34" s="16"/>
      <c r="AA34" s="16"/>
      <c r="AB34" s="42">
        <f t="shared" si="0"/>
        <v>1081.74</v>
      </c>
    </row>
    <row r="35" spans="1:28" ht="16.5" thickBot="1">
      <c r="A35" s="1" t="s">
        <v>25</v>
      </c>
      <c r="B35" s="36" t="s">
        <v>119</v>
      </c>
      <c r="C35" s="41" t="s">
        <v>202</v>
      </c>
      <c r="D35" s="16"/>
      <c r="E35" s="41" t="s">
        <v>202</v>
      </c>
      <c r="F35" s="16"/>
      <c r="G35" s="41" t="s">
        <v>202</v>
      </c>
      <c r="H35" s="16"/>
      <c r="I35" s="41" t="s">
        <v>202</v>
      </c>
      <c r="J35" s="16"/>
      <c r="K35" s="79">
        <v>235.01</v>
      </c>
      <c r="L35" s="16"/>
      <c r="M35" s="79">
        <v>211.02</v>
      </c>
      <c r="N35" s="16">
        <v>-235</v>
      </c>
      <c r="O35" s="79">
        <v>380.83</v>
      </c>
      <c r="P35" s="16"/>
      <c r="Q35" s="79">
        <v>527.4</v>
      </c>
      <c r="R35" s="16">
        <v>-591.85</v>
      </c>
      <c r="S35" s="79">
        <v>306.52</v>
      </c>
      <c r="T35" s="16">
        <v>-527.4</v>
      </c>
      <c r="U35" s="79">
        <v>2.83</v>
      </c>
      <c r="V35" s="16"/>
      <c r="W35" s="79">
        <v>23.28</v>
      </c>
      <c r="X35" s="16"/>
      <c r="Y35" s="79">
        <v>0.05</v>
      </c>
      <c r="Z35" s="16"/>
      <c r="AA35" s="16"/>
      <c r="AB35" s="42">
        <f t="shared" si="0"/>
        <v>332.68999999999977</v>
      </c>
    </row>
    <row r="36" spans="1:28" ht="16.5" thickBot="1">
      <c r="A36" s="1" t="s">
        <v>193</v>
      </c>
      <c r="B36" s="36" t="s">
        <v>192</v>
      </c>
      <c r="C36" s="41" t="s">
        <v>202</v>
      </c>
      <c r="D36" s="16"/>
      <c r="E36" s="41" t="s">
        <v>202</v>
      </c>
      <c r="F36" s="16"/>
      <c r="G36" s="41" t="s">
        <v>202</v>
      </c>
      <c r="H36" s="16"/>
      <c r="I36" s="41" t="s">
        <v>202</v>
      </c>
      <c r="J36" s="16"/>
      <c r="K36" s="79">
        <v>36.06</v>
      </c>
      <c r="L36" s="16"/>
      <c r="M36" s="41" t="s">
        <v>202</v>
      </c>
      <c r="N36" s="16"/>
      <c r="O36" s="41" t="s">
        <v>202</v>
      </c>
      <c r="P36" s="16"/>
      <c r="Q36" s="79">
        <v>282.93</v>
      </c>
      <c r="R36" s="16"/>
      <c r="S36" s="79">
        <v>4.3600000000000003</v>
      </c>
      <c r="T36" s="16"/>
      <c r="U36" s="41" t="s">
        <v>202</v>
      </c>
      <c r="V36" s="16">
        <v>-323.35000000000002</v>
      </c>
      <c r="W36" s="41" t="s">
        <v>202</v>
      </c>
      <c r="X36" s="16"/>
      <c r="Y36" s="41" t="s">
        <v>202</v>
      </c>
      <c r="Z36" s="16"/>
      <c r="AA36" s="16"/>
      <c r="AB36" s="42">
        <f t="shared" si="0"/>
        <v>0</v>
      </c>
    </row>
    <row r="37" spans="1:28" ht="16.5" thickBot="1">
      <c r="A37" s="1" t="s">
        <v>26</v>
      </c>
      <c r="B37" s="36" t="s">
        <v>120</v>
      </c>
      <c r="C37" s="79">
        <v>3.44</v>
      </c>
      <c r="D37" s="16"/>
      <c r="E37" s="79">
        <v>2.95</v>
      </c>
      <c r="F37" s="16"/>
      <c r="G37" s="79">
        <v>3.12</v>
      </c>
      <c r="H37" s="16"/>
      <c r="I37" s="79">
        <v>3.54</v>
      </c>
      <c r="J37" s="16"/>
      <c r="K37" s="79">
        <v>156.05000000000001</v>
      </c>
      <c r="L37" s="16"/>
      <c r="M37" s="79">
        <v>284.7</v>
      </c>
      <c r="N37" s="16"/>
      <c r="O37" s="79">
        <v>443.82</v>
      </c>
      <c r="P37" s="16"/>
      <c r="Q37" s="79">
        <v>560.38</v>
      </c>
      <c r="R37" s="16"/>
      <c r="S37" s="79">
        <v>186.11</v>
      </c>
      <c r="T37" s="16"/>
      <c r="U37" s="79">
        <v>3.94</v>
      </c>
      <c r="V37" s="16">
        <v>-1800</v>
      </c>
      <c r="W37" s="79">
        <v>3.59</v>
      </c>
      <c r="X37" s="16"/>
      <c r="Y37" s="79">
        <v>3.43</v>
      </c>
      <c r="Z37" s="16"/>
      <c r="AA37" s="16"/>
      <c r="AB37" s="42">
        <f t="shared" si="0"/>
        <v>-144.92999999999981</v>
      </c>
    </row>
    <row r="38" spans="1:28" ht="16.5" thickBot="1">
      <c r="A38" s="1" t="s">
        <v>27</v>
      </c>
      <c r="B38" s="36" t="s">
        <v>121</v>
      </c>
      <c r="C38" s="79">
        <v>3.83</v>
      </c>
      <c r="D38" s="16"/>
      <c r="E38" s="79">
        <v>3.27</v>
      </c>
      <c r="F38" s="16"/>
      <c r="G38" s="79">
        <v>3.44</v>
      </c>
      <c r="H38" s="16"/>
      <c r="I38" s="79">
        <v>3.87</v>
      </c>
      <c r="J38" s="16"/>
      <c r="K38" s="79">
        <v>3.61</v>
      </c>
      <c r="L38" s="16"/>
      <c r="M38" s="79">
        <v>37.159999999999997</v>
      </c>
      <c r="N38" s="16"/>
      <c r="O38" s="79">
        <v>109.13</v>
      </c>
      <c r="P38" s="16"/>
      <c r="Q38" s="79">
        <v>91.31</v>
      </c>
      <c r="R38" s="16"/>
      <c r="S38" s="79">
        <v>113.99</v>
      </c>
      <c r="T38" s="16"/>
      <c r="U38" s="79">
        <v>2.56</v>
      </c>
      <c r="V38" s="16">
        <v>-880.1</v>
      </c>
      <c r="W38" s="41" t="s">
        <v>202</v>
      </c>
      <c r="X38" s="16"/>
      <c r="Y38" s="41" t="s">
        <v>202</v>
      </c>
      <c r="Z38" s="16"/>
      <c r="AA38" s="16"/>
      <c r="AB38" s="42">
        <f t="shared" si="0"/>
        <v>-507.93</v>
      </c>
    </row>
    <row r="39" spans="1:28" ht="16.5" thickBot="1">
      <c r="A39" s="1" t="s">
        <v>28</v>
      </c>
      <c r="B39" s="36" t="s">
        <v>122</v>
      </c>
      <c r="C39" s="41" t="s">
        <v>202</v>
      </c>
      <c r="D39" s="16"/>
      <c r="E39" s="41" t="s">
        <v>202</v>
      </c>
      <c r="F39" s="16">
        <v>-238.07</v>
      </c>
      <c r="G39" s="41" t="s">
        <v>202</v>
      </c>
      <c r="H39" s="16"/>
      <c r="I39" s="41" t="s">
        <v>202</v>
      </c>
      <c r="J39" s="16"/>
      <c r="K39" s="79">
        <v>0.97</v>
      </c>
      <c r="L39" s="16"/>
      <c r="M39" s="79">
        <v>8.91</v>
      </c>
      <c r="N39" s="16"/>
      <c r="O39" s="79">
        <v>1.77</v>
      </c>
      <c r="P39" s="16"/>
      <c r="Q39" s="79">
        <v>8.81</v>
      </c>
      <c r="R39" s="16"/>
      <c r="S39" s="79">
        <v>11.28</v>
      </c>
      <c r="T39" s="16">
        <v>-19.489999999999998</v>
      </c>
      <c r="U39" s="41" t="s">
        <v>202</v>
      </c>
      <c r="V39" s="16"/>
      <c r="W39" s="41" t="s">
        <v>202</v>
      </c>
      <c r="X39" s="16"/>
      <c r="Y39" s="41" t="s">
        <v>202</v>
      </c>
      <c r="Z39" s="16"/>
      <c r="AA39" s="16"/>
      <c r="AB39" s="42">
        <f t="shared" si="0"/>
        <v>-225.82</v>
      </c>
    </row>
    <row r="40" spans="1:28" ht="16.5" thickBot="1">
      <c r="A40" s="1" t="s">
        <v>29</v>
      </c>
      <c r="B40" s="36" t="s">
        <v>123</v>
      </c>
      <c r="C40" s="41" t="s">
        <v>202</v>
      </c>
      <c r="D40" s="16"/>
      <c r="E40" s="41" t="s">
        <v>202</v>
      </c>
      <c r="F40" s="16"/>
      <c r="G40" s="41" t="s">
        <v>202</v>
      </c>
      <c r="H40" s="16"/>
      <c r="I40" s="41" t="s">
        <v>202</v>
      </c>
      <c r="J40" s="16"/>
      <c r="K40" s="79">
        <v>824.36</v>
      </c>
      <c r="L40" s="16">
        <v>-824.36</v>
      </c>
      <c r="M40" s="79">
        <v>894.86</v>
      </c>
      <c r="N40" s="16">
        <v>-894.86</v>
      </c>
      <c r="O40" s="79">
        <v>926.76</v>
      </c>
      <c r="P40" s="16">
        <v>-926.76</v>
      </c>
      <c r="Q40" s="79">
        <v>669.08</v>
      </c>
      <c r="R40" s="16">
        <v>-693.29</v>
      </c>
      <c r="S40" s="79">
        <v>1571.76</v>
      </c>
      <c r="T40" s="16">
        <v>-1571.76</v>
      </c>
      <c r="U40" s="79">
        <v>239.45</v>
      </c>
      <c r="V40" s="16"/>
      <c r="W40" s="41" t="s">
        <v>202</v>
      </c>
      <c r="X40" s="16">
        <v>-239.45</v>
      </c>
      <c r="Y40" s="41" t="s">
        <v>202</v>
      </c>
      <c r="Z40" s="16"/>
      <c r="AA40" s="16"/>
      <c r="AB40" s="42">
        <f t="shared" si="0"/>
        <v>-24.209999999999809</v>
      </c>
    </row>
    <row r="41" spans="1:28" ht="16.5" thickBot="1">
      <c r="A41" s="48" t="s">
        <v>30</v>
      </c>
      <c r="B41" s="47" t="s">
        <v>124</v>
      </c>
      <c r="C41" s="57" t="s">
        <v>202</v>
      </c>
      <c r="D41" s="46"/>
      <c r="E41" s="57" t="s">
        <v>202</v>
      </c>
      <c r="F41" s="46"/>
      <c r="G41" s="57" t="s">
        <v>202</v>
      </c>
      <c r="H41" s="46"/>
      <c r="I41" s="57" t="s">
        <v>202</v>
      </c>
      <c r="J41" s="46"/>
      <c r="K41" s="80">
        <v>103.65</v>
      </c>
      <c r="L41" s="46"/>
      <c r="M41" s="57" t="s">
        <v>202</v>
      </c>
      <c r="N41" s="46"/>
      <c r="O41" s="80">
        <v>316.77999999999997</v>
      </c>
      <c r="P41" s="46"/>
      <c r="Q41" s="80">
        <v>578.71</v>
      </c>
      <c r="R41" s="46">
        <v>-420.43</v>
      </c>
      <c r="S41" s="80">
        <v>351.76</v>
      </c>
      <c r="T41" s="46">
        <v>-578.71</v>
      </c>
      <c r="U41" s="80">
        <v>112.91</v>
      </c>
      <c r="V41" s="46">
        <v>-464.67</v>
      </c>
      <c r="W41" s="57" t="s">
        <v>202</v>
      </c>
      <c r="X41" s="46"/>
      <c r="Y41" s="57" t="s">
        <v>202</v>
      </c>
      <c r="Z41" s="46"/>
      <c r="AA41" s="46"/>
      <c r="AB41" s="42">
        <f t="shared" si="0"/>
        <v>0</v>
      </c>
    </row>
    <row r="42" spans="1:28" ht="16.5" thickBot="1">
      <c r="A42" s="1" t="s">
        <v>31</v>
      </c>
      <c r="B42" s="36" t="s">
        <v>125</v>
      </c>
      <c r="C42" s="79">
        <v>66.42</v>
      </c>
      <c r="D42" s="16"/>
      <c r="E42" s="79">
        <v>47.86</v>
      </c>
      <c r="F42" s="16"/>
      <c r="G42" s="79">
        <v>12.91</v>
      </c>
      <c r="H42" s="16"/>
      <c r="I42" s="79">
        <v>20.010000000000002</v>
      </c>
      <c r="J42" s="16"/>
      <c r="K42" s="79">
        <v>79.7</v>
      </c>
      <c r="L42" s="16"/>
      <c r="M42" s="79">
        <v>106.4</v>
      </c>
      <c r="N42" s="16"/>
      <c r="O42" s="79">
        <v>135.44</v>
      </c>
      <c r="P42" s="16"/>
      <c r="Q42" s="79">
        <v>296.37</v>
      </c>
      <c r="R42" s="16">
        <v>-3000</v>
      </c>
      <c r="S42" s="79">
        <v>456.01</v>
      </c>
      <c r="T42" s="16"/>
      <c r="U42" s="79">
        <v>383.75</v>
      </c>
      <c r="V42" s="16"/>
      <c r="W42" s="79">
        <v>16.329999999999998</v>
      </c>
      <c r="X42" s="16"/>
      <c r="Y42" s="79">
        <v>10.73</v>
      </c>
      <c r="Z42" s="16"/>
      <c r="AA42" s="16"/>
      <c r="AB42" s="42">
        <f t="shared" si="0"/>
        <v>-1368.0700000000004</v>
      </c>
    </row>
    <row r="43" spans="1:28" ht="16.5" thickBot="1">
      <c r="A43" s="1" t="s">
        <v>32</v>
      </c>
      <c r="B43" s="36" t="s">
        <v>126</v>
      </c>
      <c r="C43" s="79">
        <v>9.7899999999999991</v>
      </c>
      <c r="D43" s="16">
        <v>-9.56</v>
      </c>
      <c r="E43" s="79">
        <v>8.2200000000000006</v>
      </c>
      <c r="F43" s="16"/>
      <c r="G43" s="79">
        <v>11.58</v>
      </c>
      <c r="H43" s="16"/>
      <c r="I43" s="79">
        <v>9.9</v>
      </c>
      <c r="J43" s="16">
        <v>-39.5</v>
      </c>
      <c r="K43" s="79">
        <v>631.34</v>
      </c>
      <c r="L43" s="16">
        <v>-631.34</v>
      </c>
      <c r="M43" s="79">
        <v>851.58</v>
      </c>
      <c r="N43" s="16"/>
      <c r="O43" s="79">
        <v>1291.42</v>
      </c>
      <c r="P43" s="16">
        <f>-851.58-1291.42</f>
        <v>-2143</v>
      </c>
      <c r="Q43" s="79">
        <v>1109.2</v>
      </c>
      <c r="R43" s="16">
        <v>-1109.2</v>
      </c>
      <c r="S43" s="79">
        <v>1416.04</v>
      </c>
      <c r="T43" s="16">
        <v>-1416.04</v>
      </c>
      <c r="U43" s="79">
        <v>700.94</v>
      </c>
      <c r="V43" s="16">
        <v>-700.94</v>
      </c>
      <c r="W43" s="79">
        <v>40.35</v>
      </c>
      <c r="X43" s="16">
        <v>-40.35</v>
      </c>
      <c r="Y43" s="79">
        <v>9.69</v>
      </c>
      <c r="Z43" s="16"/>
      <c r="AA43" s="16"/>
      <c r="AB43" s="42">
        <f t="shared" ref="AB43:AB74" si="1">SUM(C43:AA43)</f>
        <v>0.12000000000029054</v>
      </c>
    </row>
    <row r="44" spans="1:28" ht="16.5" thickBot="1">
      <c r="A44" s="48" t="s">
        <v>33</v>
      </c>
      <c r="B44" s="47" t="s">
        <v>127</v>
      </c>
      <c r="C44" s="80">
        <v>2.0299999999999998</v>
      </c>
      <c r="D44" s="46"/>
      <c r="E44" s="80">
        <v>35.56</v>
      </c>
      <c r="F44" s="46"/>
      <c r="G44" s="80">
        <v>104.23</v>
      </c>
      <c r="H44" s="46"/>
      <c r="I44" s="80">
        <v>164.14</v>
      </c>
      <c r="J44" s="46"/>
      <c r="K44" s="80">
        <v>366.35</v>
      </c>
      <c r="L44" s="46"/>
      <c r="M44" s="80">
        <v>687.8</v>
      </c>
      <c r="N44" s="46">
        <v>-665.8</v>
      </c>
      <c r="O44" s="80">
        <v>733.13</v>
      </c>
      <c r="P44" s="46"/>
      <c r="Q44" s="80"/>
      <c r="R44" s="46"/>
      <c r="S44" s="80"/>
      <c r="T44" s="46"/>
      <c r="U44" s="80"/>
      <c r="V44" s="46">
        <v>-1427.21</v>
      </c>
      <c r="W44" s="80"/>
      <c r="X44" s="46"/>
      <c r="Y44" s="80"/>
      <c r="Z44" s="46"/>
      <c r="AA44" s="46"/>
      <c r="AB44" s="42">
        <f t="shared" si="1"/>
        <v>0.23000000000001819</v>
      </c>
    </row>
    <row r="45" spans="1:28" ht="16.5" thickBot="1">
      <c r="A45" s="1" t="s">
        <v>34</v>
      </c>
      <c r="B45" s="36" t="s">
        <v>128</v>
      </c>
      <c r="C45" s="79">
        <v>8431.5300000000007</v>
      </c>
      <c r="D45" s="16"/>
      <c r="E45" s="79">
        <v>5206.54</v>
      </c>
      <c r="F45" s="16"/>
      <c r="G45" s="79">
        <v>5078.58</v>
      </c>
      <c r="H45" s="16"/>
      <c r="I45" s="79">
        <v>1625.26</v>
      </c>
      <c r="J45" s="16"/>
      <c r="K45" s="79">
        <v>1784.75</v>
      </c>
      <c r="L45" s="16">
        <f>-20341.91-49257.17</f>
        <v>-69599.08</v>
      </c>
      <c r="M45" s="79">
        <v>1863.59</v>
      </c>
      <c r="N45" s="16"/>
      <c r="O45" s="79">
        <v>2742.49</v>
      </c>
      <c r="P45" s="16"/>
      <c r="Q45" s="79">
        <v>2408.7600000000002</v>
      </c>
      <c r="R45" s="16"/>
      <c r="S45" s="79">
        <v>5052.47</v>
      </c>
      <c r="T45" s="16"/>
      <c r="U45" s="79">
        <v>1852.95</v>
      </c>
      <c r="V45" s="16"/>
      <c r="W45" s="79">
        <v>6326.08</v>
      </c>
      <c r="X45" s="16"/>
      <c r="Y45" s="79">
        <v>7527.33</v>
      </c>
      <c r="Z45" s="16"/>
      <c r="AA45" s="16"/>
      <c r="AB45" s="42">
        <f t="shared" si="1"/>
        <v>-19698.75</v>
      </c>
    </row>
    <row r="46" spans="1:28" ht="16.5" thickBot="1">
      <c r="A46" s="1" t="s">
        <v>191</v>
      </c>
      <c r="B46" s="36" t="s">
        <v>190</v>
      </c>
      <c r="C46" s="79">
        <v>4.04</v>
      </c>
      <c r="D46" s="16"/>
      <c r="E46" s="79">
        <v>3.38</v>
      </c>
      <c r="F46" s="16"/>
      <c r="G46" s="79">
        <v>3.61</v>
      </c>
      <c r="H46" s="16"/>
      <c r="I46" s="79">
        <v>4</v>
      </c>
      <c r="J46" s="16"/>
      <c r="K46" s="79">
        <v>58.72</v>
      </c>
      <c r="L46" s="16"/>
      <c r="M46" s="79">
        <v>80.8</v>
      </c>
      <c r="N46" s="16"/>
      <c r="O46" s="79">
        <v>345.6</v>
      </c>
      <c r="P46" s="16"/>
      <c r="Q46" s="79">
        <v>370.79</v>
      </c>
      <c r="R46" s="16"/>
      <c r="S46" s="79">
        <v>346.24</v>
      </c>
      <c r="T46" s="16"/>
      <c r="U46" s="79">
        <v>402.07</v>
      </c>
      <c r="V46" s="16">
        <v>-1700</v>
      </c>
      <c r="W46" s="79">
        <v>24.69</v>
      </c>
      <c r="X46" s="16"/>
      <c r="Y46" s="79">
        <v>3.92</v>
      </c>
      <c r="Z46" s="16"/>
      <c r="AA46" s="16"/>
      <c r="AB46" s="42">
        <f t="shared" si="1"/>
        <v>-52.14</v>
      </c>
    </row>
    <row r="47" spans="1:28" ht="16.5" thickBot="1">
      <c r="A47" s="1" t="s">
        <v>35</v>
      </c>
      <c r="B47" s="36" t="s">
        <v>171</v>
      </c>
      <c r="C47" s="41" t="s">
        <v>202</v>
      </c>
      <c r="D47" s="16"/>
      <c r="E47" s="41" t="s">
        <v>202</v>
      </c>
      <c r="F47" s="16"/>
      <c r="G47" s="41" t="s">
        <v>202</v>
      </c>
      <c r="H47" s="16"/>
      <c r="I47" s="41" t="s">
        <v>202</v>
      </c>
      <c r="J47" s="16"/>
      <c r="K47" s="41" t="s">
        <v>202</v>
      </c>
      <c r="L47" s="16"/>
      <c r="M47" s="41" t="s">
        <v>202</v>
      </c>
      <c r="N47" s="16"/>
      <c r="O47" s="79">
        <v>28.09</v>
      </c>
      <c r="P47" s="16"/>
      <c r="Q47" s="79">
        <v>456.67</v>
      </c>
      <c r="R47" s="16"/>
      <c r="S47" s="79">
        <v>124.49</v>
      </c>
      <c r="T47" s="16"/>
      <c r="U47" s="41" t="s">
        <v>202</v>
      </c>
      <c r="V47" s="16"/>
      <c r="W47" s="79">
        <v>14.9</v>
      </c>
      <c r="X47" s="16"/>
      <c r="Y47" s="41" t="s">
        <v>202</v>
      </c>
      <c r="Z47" s="16">
        <v>-1000</v>
      </c>
      <c r="AA47" s="16"/>
      <c r="AB47" s="42">
        <f t="shared" si="1"/>
        <v>-375.85</v>
      </c>
    </row>
    <row r="48" spans="1:28" ht="16.5" thickBot="1">
      <c r="A48" s="1" t="s">
        <v>36</v>
      </c>
      <c r="B48" s="36" t="s">
        <v>205</v>
      </c>
      <c r="C48" s="79">
        <v>3.67</v>
      </c>
      <c r="D48" s="16"/>
      <c r="E48" s="79">
        <v>3.12</v>
      </c>
      <c r="F48" s="16"/>
      <c r="G48" s="79">
        <v>3.34</v>
      </c>
      <c r="H48" s="16"/>
      <c r="I48" s="79">
        <v>2133.16</v>
      </c>
      <c r="J48" s="16">
        <v>-2000</v>
      </c>
      <c r="K48" s="79">
        <v>420.46</v>
      </c>
      <c r="L48" s="16"/>
      <c r="M48" s="79">
        <v>1368.51</v>
      </c>
      <c r="N48" s="16"/>
      <c r="O48" s="79">
        <v>1855.48</v>
      </c>
      <c r="P48" s="16"/>
      <c r="Q48" s="79">
        <v>1923.49</v>
      </c>
      <c r="R48" s="16">
        <v>-15000</v>
      </c>
      <c r="S48" s="79">
        <v>4434.24</v>
      </c>
      <c r="T48" s="16"/>
      <c r="U48" s="79">
        <v>13413.1</v>
      </c>
      <c r="V48" s="16"/>
      <c r="W48" s="79">
        <v>19527.53</v>
      </c>
      <c r="X48" s="16"/>
      <c r="Y48" s="79">
        <v>20153.64</v>
      </c>
      <c r="Z48" s="16"/>
      <c r="AA48" s="16"/>
      <c r="AB48" s="42">
        <f t="shared" si="1"/>
        <v>48239.74</v>
      </c>
    </row>
    <row r="49" spans="1:28" ht="16.5" thickBot="1">
      <c r="A49" s="1" t="s">
        <v>37</v>
      </c>
      <c r="B49" s="36" t="s">
        <v>129</v>
      </c>
      <c r="C49" s="79">
        <v>10.99</v>
      </c>
      <c r="D49" s="16"/>
      <c r="E49" s="79">
        <v>9.68</v>
      </c>
      <c r="F49" s="16"/>
      <c r="G49" s="79">
        <v>10.54</v>
      </c>
      <c r="H49" s="16"/>
      <c r="I49" s="79">
        <v>13.64</v>
      </c>
      <c r="J49" s="16"/>
      <c r="K49" s="79">
        <v>227.19</v>
      </c>
      <c r="L49" s="16"/>
      <c r="M49" s="79">
        <v>533.71</v>
      </c>
      <c r="N49" s="16">
        <v>-229</v>
      </c>
      <c r="O49" s="79">
        <v>470.64</v>
      </c>
      <c r="P49" s="16"/>
      <c r="Q49" s="79">
        <v>396.48</v>
      </c>
      <c r="R49" s="16">
        <v>-511.81</v>
      </c>
      <c r="S49" s="79">
        <v>675.44</v>
      </c>
      <c r="T49" s="16"/>
      <c r="U49" s="79">
        <v>524.02</v>
      </c>
      <c r="V49" s="16">
        <f>-396.48-470.64-675.44</f>
        <v>-1542.56</v>
      </c>
      <c r="W49" s="79">
        <v>12.06</v>
      </c>
      <c r="X49" s="16"/>
      <c r="Y49" s="79">
        <v>11.79</v>
      </c>
      <c r="Z49" s="16">
        <v>-600</v>
      </c>
      <c r="AA49" s="16"/>
      <c r="AB49" s="42">
        <f t="shared" si="1"/>
        <v>12.809999999999945</v>
      </c>
    </row>
    <row r="50" spans="1:28" ht="16.5" thickBot="1">
      <c r="A50" s="1" t="s">
        <v>38</v>
      </c>
      <c r="B50" s="36" t="s">
        <v>130</v>
      </c>
      <c r="C50" s="41" t="s">
        <v>202</v>
      </c>
      <c r="D50" s="16"/>
      <c r="E50" s="41" t="s">
        <v>202</v>
      </c>
      <c r="F50" s="16"/>
      <c r="G50" s="41" t="s">
        <v>202</v>
      </c>
      <c r="H50" s="16"/>
      <c r="I50" s="41" t="s">
        <v>202</v>
      </c>
      <c r="J50" s="16"/>
      <c r="K50" s="41" t="s">
        <v>202</v>
      </c>
      <c r="L50" s="16"/>
      <c r="M50" s="79">
        <v>11.02</v>
      </c>
      <c r="N50" s="16"/>
      <c r="O50" s="79">
        <v>167.03</v>
      </c>
      <c r="P50" s="16"/>
      <c r="Q50" s="79">
        <v>281.89999999999998</v>
      </c>
      <c r="R50" s="16"/>
      <c r="S50" s="79">
        <v>74.7</v>
      </c>
      <c r="T50" s="16"/>
      <c r="U50" s="41" t="s">
        <v>202</v>
      </c>
      <c r="V50" s="16">
        <v>-534.65</v>
      </c>
      <c r="W50" s="41" t="s">
        <v>202</v>
      </c>
      <c r="X50" s="16"/>
      <c r="Y50" s="41" t="s">
        <v>202</v>
      </c>
      <c r="Z50" s="16"/>
      <c r="AA50" s="16"/>
      <c r="AB50" s="42">
        <f t="shared" si="1"/>
        <v>0</v>
      </c>
    </row>
    <row r="51" spans="1:28" ht="16.5" thickBot="1">
      <c r="A51" s="1" t="s">
        <v>39</v>
      </c>
      <c r="B51" s="36" t="s">
        <v>131</v>
      </c>
      <c r="C51" s="79">
        <v>3.17</v>
      </c>
      <c r="D51" s="16"/>
      <c r="E51" s="79">
        <v>2.5499999999999998</v>
      </c>
      <c r="F51" s="16"/>
      <c r="G51" s="79">
        <v>2.75</v>
      </c>
      <c r="H51" s="16"/>
      <c r="I51" s="79">
        <v>3.12</v>
      </c>
      <c r="J51" s="16"/>
      <c r="K51" s="79">
        <v>2.83</v>
      </c>
      <c r="L51" s="16"/>
      <c r="M51" s="79">
        <v>3.03</v>
      </c>
      <c r="N51" s="16"/>
      <c r="O51" s="79">
        <v>2.98</v>
      </c>
      <c r="P51" s="16"/>
      <c r="Q51" s="79">
        <v>2.98</v>
      </c>
      <c r="R51" s="16"/>
      <c r="S51" s="79">
        <v>3.09</v>
      </c>
      <c r="T51" s="16"/>
      <c r="U51" s="79">
        <v>3.14</v>
      </c>
      <c r="V51" s="16"/>
      <c r="W51" s="79">
        <v>3.3</v>
      </c>
      <c r="X51" s="16"/>
      <c r="Y51" s="79">
        <v>3.16</v>
      </c>
      <c r="Z51" s="16"/>
      <c r="AA51" s="16"/>
      <c r="AB51" s="42">
        <f t="shared" si="1"/>
        <v>36.099999999999994</v>
      </c>
    </row>
    <row r="52" spans="1:28" ht="16.5" thickBot="1">
      <c r="A52" s="1" t="s">
        <v>40</v>
      </c>
      <c r="B52" s="36" t="s">
        <v>132</v>
      </c>
      <c r="C52" s="79">
        <v>3.98</v>
      </c>
      <c r="D52" s="16"/>
      <c r="E52" s="79">
        <v>3.34</v>
      </c>
      <c r="F52" s="16"/>
      <c r="G52" s="79">
        <v>3.61</v>
      </c>
      <c r="H52" s="16"/>
      <c r="I52" s="79">
        <v>4.03</v>
      </c>
      <c r="J52" s="16"/>
      <c r="K52" s="79">
        <v>404.5</v>
      </c>
      <c r="L52" s="16"/>
      <c r="M52" s="79">
        <v>1867.65</v>
      </c>
      <c r="N52" s="16"/>
      <c r="O52" s="79">
        <v>1401.33</v>
      </c>
      <c r="P52" s="16"/>
      <c r="Q52" s="79">
        <v>1273.1199999999999</v>
      </c>
      <c r="R52" s="16">
        <v>-4998.38</v>
      </c>
      <c r="S52" s="79">
        <v>939.07</v>
      </c>
      <c r="T52" s="16"/>
      <c r="U52" s="79">
        <v>5.38</v>
      </c>
      <c r="V52" s="16"/>
      <c r="W52" s="79">
        <v>4.21</v>
      </c>
      <c r="X52" s="16"/>
      <c r="Y52" s="79">
        <v>3.97</v>
      </c>
      <c r="Z52" s="16"/>
      <c r="AA52" s="16"/>
      <c r="AB52" s="42">
        <f t="shared" si="1"/>
        <v>915.80999999999949</v>
      </c>
    </row>
    <row r="53" spans="1:28" ht="16.5" thickBot="1">
      <c r="A53" s="1" t="s">
        <v>41</v>
      </c>
      <c r="B53" s="36" t="s">
        <v>133</v>
      </c>
      <c r="C53" s="79">
        <v>765.94</v>
      </c>
      <c r="D53" s="16">
        <v>-235.77</v>
      </c>
      <c r="E53" s="79">
        <v>14.36</v>
      </c>
      <c r="F53" s="16">
        <v>-765.94</v>
      </c>
      <c r="G53" s="79">
        <v>723.21</v>
      </c>
      <c r="H53" s="16"/>
      <c r="I53" s="79">
        <v>1437.1</v>
      </c>
      <c r="J53" s="16">
        <v>-3533.14</v>
      </c>
      <c r="K53" s="79">
        <v>1119.83</v>
      </c>
      <c r="L53" s="16"/>
      <c r="M53" s="79">
        <v>800.53</v>
      </c>
      <c r="N53" s="16">
        <f>-2556.93-800.53</f>
        <v>-3357.46</v>
      </c>
      <c r="O53" s="79">
        <v>843.31</v>
      </c>
      <c r="P53" s="16"/>
      <c r="Q53" s="79">
        <v>910.34</v>
      </c>
      <c r="R53" s="16">
        <f>-843.3-910.34</f>
        <v>-1753.6399999999999</v>
      </c>
      <c r="S53" s="79">
        <v>1109.32</v>
      </c>
      <c r="T53" s="16">
        <v>-1109.32</v>
      </c>
      <c r="U53" s="79">
        <v>1877.35</v>
      </c>
      <c r="V53" s="16">
        <v>-1877.35</v>
      </c>
      <c r="W53" s="79">
        <v>1978.27</v>
      </c>
      <c r="X53" s="16">
        <v>-1978.27</v>
      </c>
      <c r="Y53" s="79">
        <v>1501.42</v>
      </c>
      <c r="Z53" s="16">
        <v>-1501.42</v>
      </c>
      <c r="AA53" s="16"/>
      <c r="AB53" s="42">
        <f t="shared" si="1"/>
        <v>-3031.33</v>
      </c>
    </row>
    <row r="54" spans="1:28" ht="16.5" thickBot="1">
      <c r="A54" s="1" t="s">
        <v>42</v>
      </c>
      <c r="B54" s="36" t="s">
        <v>134</v>
      </c>
      <c r="C54" s="79">
        <v>3.97</v>
      </c>
      <c r="D54" s="16"/>
      <c r="E54" s="79">
        <v>3.29</v>
      </c>
      <c r="F54" s="16"/>
      <c r="G54" s="79">
        <v>3.55</v>
      </c>
      <c r="H54" s="16"/>
      <c r="I54" s="79">
        <v>3.92</v>
      </c>
      <c r="J54" s="16"/>
      <c r="K54" s="79">
        <v>818.98</v>
      </c>
      <c r="L54" s="16"/>
      <c r="M54" s="79">
        <v>1694.06</v>
      </c>
      <c r="N54" s="16"/>
      <c r="O54" s="79">
        <v>552.13</v>
      </c>
      <c r="P54" s="16">
        <v>-1246.29</v>
      </c>
      <c r="Q54" s="79">
        <v>1045.5999999999999</v>
      </c>
      <c r="R54" s="16"/>
      <c r="S54" s="79">
        <v>1148.26</v>
      </c>
      <c r="T54" s="16"/>
      <c r="U54" s="79">
        <v>3.88</v>
      </c>
      <c r="V54" s="16"/>
      <c r="W54" s="79">
        <v>3.99</v>
      </c>
      <c r="X54" s="16"/>
      <c r="Y54" s="79">
        <v>3.76</v>
      </c>
      <c r="Z54" s="16"/>
      <c r="AA54" s="16"/>
      <c r="AB54" s="42">
        <f t="shared" si="1"/>
        <v>4039.1000000000004</v>
      </c>
    </row>
    <row r="55" spans="1:28" ht="16.5" thickBot="1">
      <c r="A55" s="1" t="s">
        <v>43</v>
      </c>
      <c r="B55" s="36" t="s">
        <v>135</v>
      </c>
      <c r="C55" s="79">
        <v>0.69</v>
      </c>
      <c r="D55" s="16"/>
      <c r="E55" s="79">
        <v>0.54</v>
      </c>
      <c r="F55" s="16"/>
      <c r="G55" s="79">
        <v>0.6</v>
      </c>
      <c r="H55" s="16"/>
      <c r="I55" s="79">
        <v>0.69</v>
      </c>
      <c r="J55" s="16"/>
      <c r="K55" s="79">
        <v>16.03</v>
      </c>
      <c r="L55" s="16"/>
      <c r="M55" s="79">
        <v>209.34</v>
      </c>
      <c r="N55" s="16"/>
      <c r="O55" s="79">
        <v>276.82</v>
      </c>
      <c r="P55" s="16">
        <v>-502.19</v>
      </c>
      <c r="Q55" s="79">
        <v>315.82</v>
      </c>
      <c r="R55" s="16"/>
      <c r="S55" s="79">
        <v>222.98</v>
      </c>
      <c r="T55" s="16"/>
      <c r="U55" s="79">
        <v>0.74</v>
      </c>
      <c r="V55" s="16">
        <v>-537.79999999999995</v>
      </c>
      <c r="W55" s="79">
        <v>0.72</v>
      </c>
      <c r="X55" s="16"/>
      <c r="Y55" s="79">
        <v>0.75</v>
      </c>
      <c r="Z55" s="16"/>
      <c r="AA55" s="16"/>
      <c r="AB55" s="42">
        <f t="shared" si="1"/>
        <v>5.7300000000001043</v>
      </c>
    </row>
    <row r="56" spans="1:28" ht="16.5" thickBot="1">
      <c r="A56" s="48" t="s">
        <v>44</v>
      </c>
      <c r="B56" s="47" t="s">
        <v>136</v>
      </c>
      <c r="C56" s="80">
        <v>120.29</v>
      </c>
      <c r="D56" s="46"/>
      <c r="E56" s="80">
        <v>78.739999999999995</v>
      </c>
      <c r="F56" s="46">
        <v>-280.52999999999997</v>
      </c>
      <c r="G56" s="80">
        <v>93.15</v>
      </c>
      <c r="H56" s="46"/>
      <c r="I56" s="57" t="s">
        <v>202</v>
      </c>
      <c r="J56" s="46">
        <v>-171.89</v>
      </c>
      <c r="K56" s="80">
        <v>608.83000000000004</v>
      </c>
      <c r="L56" s="46"/>
      <c r="M56" s="80">
        <v>739.6</v>
      </c>
      <c r="N56" s="46">
        <v>-608.83000000000004</v>
      </c>
      <c r="O56" s="80">
        <v>802.5</v>
      </c>
      <c r="P56" s="46">
        <v>-739.6</v>
      </c>
      <c r="Q56" s="80"/>
      <c r="R56" s="46">
        <v>-802.5</v>
      </c>
      <c r="S56" s="80"/>
      <c r="T56" s="46"/>
      <c r="U56" s="80"/>
      <c r="V56" s="46"/>
      <c r="W56" s="80"/>
      <c r="X56" s="46"/>
      <c r="Y56" s="80"/>
      <c r="Z56" s="46"/>
      <c r="AA56" s="46"/>
      <c r="AB56" s="42">
        <f t="shared" si="1"/>
        <v>-160.2399999999999</v>
      </c>
    </row>
    <row r="57" spans="1:28" ht="16.5" thickBot="1">
      <c r="A57" s="1" t="s">
        <v>45</v>
      </c>
      <c r="B57" s="36" t="s">
        <v>137</v>
      </c>
      <c r="C57" s="41" t="s">
        <v>202</v>
      </c>
      <c r="D57" s="16"/>
      <c r="E57" s="41" t="s">
        <v>202</v>
      </c>
      <c r="F57" s="16"/>
      <c r="G57" s="41" t="s">
        <v>202</v>
      </c>
      <c r="H57" s="16"/>
      <c r="I57" s="79">
        <v>0.08</v>
      </c>
      <c r="J57" s="16"/>
      <c r="K57" s="79">
        <v>930.16</v>
      </c>
      <c r="L57" s="16">
        <v>-932.27</v>
      </c>
      <c r="M57" s="79">
        <v>585.27</v>
      </c>
      <c r="N57" s="16"/>
      <c r="O57" s="79">
        <v>794.64</v>
      </c>
      <c r="P57" s="16"/>
      <c r="Q57" s="79">
        <v>1131.4100000000001</v>
      </c>
      <c r="R57" s="16">
        <f>-794.64-1455.05</f>
        <v>-2249.69</v>
      </c>
      <c r="S57" s="79">
        <v>696.61</v>
      </c>
      <c r="T57" s="16">
        <v>-1131.4100000000001</v>
      </c>
      <c r="U57" s="41" t="s">
        <v>202</v>
      </c>
      <c r="V57" s="16">
        <v>-696.61</v>
      </c>
      <c r="W57" s="41" t="s">
        <v>202</v>
      </c>
      <c r="X57" s="16"/>
      <c r="Y57" s="41" t="s">
        <v>202</v>
      </c>
      <c r="Z57" s="16"/>
      <c r="AA57" s="16"/>
      <c r="AB57" s="42">
        <f t="shared" si="1"/>
        <v>-871.81000000000017</v>
      </c>
    </row>
    <row r="58" spans="1:28" ht="16.5" thickBot="1">
      <c r="A58" s="1" t="s">
        <v>46</v>
      </c>
      <c r="B58" s="36" t="s">
        <v>138</v>
      </c>
      <c r="C58" s="41" t="s">
        <v>202</v>
      </c>
      <c r="D58" s="16"/>
      <c r="E58" s="41" t="s">
        <v>202</v>
      </c>
      <c r="F58" s="16"/>
      <c r="G58" s="41" t="s">
        <v>202</v>
      </c>
      <c r="H58" s="16"/>
      <c r="I58" s="41" t="s">
        <v>202</v>
      </c>
      <c r="J58" s="16"/>
      <c r="K58" s="41" t="s">
        <v>202</v>
      </c>
      <c r="L58" s="16"/>
      <c r="M58" s="79">
        <v>481.97</v>
      </c>
      <c r="N58" s="16"/>
      <c r="O58" s="79">
        <v>756.21</v>
      </c>
      <c r="P58" s="16">
        <v>-786</v>
      </c>
      <c r="Q58" s="79">
        <v>719.64</v>
      </c>
      <c r="R58" s="16"/>
      <c r="S58" s="79">
        <v>211.43</v>
      </c>
      <c r="T58" s="16">
        <v>-1475.85</v>
      </c>
      <c r="U58" s="41" t="s">
        <v>202</v>
      </c>
      <c r="V58" s="16">
        <v>-212</v>
      </c>
      <c r="W58" s="41" t="s">
        <v>202</v>
      </c>
      <c r="X58" s="16"/>
      <c r="Y58" s="41" t="s">
        <v>202</v>
      </c>
      <c r="Z58" s="16"/>
      <c r="AA58" s="16"/>
      <c r="AB58" s="42">
        <f t="shared" si="1"/>
        <v>-304.59999999999968</v>
      </c>
    </row>
    <row r="59" spans="1:28" ht="16.5" thickBot="1">
      <c r="A59" s="1" t="s">
        <v>47</v>
      </c>
      <c r="B59" s="36" t="s">
        <v>139</v>
      </c>
      <c r="C59" s="79">
        <v>13.51</v>
      </c>
      <c r="D59" s="16"/>
      <c r="E59" s="79">
        <v>2.86</v>
      </c>
      <c r="F59" s="16"/>
      <c r="G59" s="79">
        <v>80.760000000000005</v>
      </c>
      <c r="H59" s="16">
        <v>-878.27</v>
      </c>
      <c r="I59" s="79">
        <v>27.23</v>
      </c>
      <c r="J59" s="16"/>
      <c r="K59" s="79">
        <v>240.86</v>
      </c>
      <c r="L59" s="16">
        <v>-241</v>
      </c>
      <c r="M59" s="79">
        <v>361.72</v>
      </c>
      <c r="N59" s="16"/>
      <c r="O59" s="79">
        <v>533.09</v>
      </c>
      <c r="P59" s="16">
        <v>-381.72</v>
      </c>
      <c r="Q59" s="79">
        <v>698.34</v>
      </c>
      <c r="R59" s="16">
        <f>-774.14-2605.39</f>
        <v>-3379.5299999999997</v>
      </c>
      <c r="S59" s="79">
        <v>953.86</v>
      </c>
      <c r="T59" s="16"/>
      <c r="U59" s="79">
        <v>674.11</v>
      </c>
      <c r="V59" s="16"/>
      <c r="W59" s="79">
        <v>325.69</v>
      </c>
      <c r="X59" s="16"/>
      <c r="Y59" s="79">
        <v>33.57</v>
      </c>
      <c r="Z59" s="16"/>
      <c r="AA59" s="16"/>
      <c r="AB59" s="42">
        <f t="shared" si="1"/>
        <v>-934.91999999999928</v>
      </c>
    </row>
    <row r="60" spans="1:28" ht="16.5" thickBot="1">
      <c r="A60" s="1" t="s">
        <v>48</v>
      </c>
      <c r="B60" s="36" t="s">
        <v>140</v>
      </c>
      <c r="C60" s="79">
        <v>3.66</v>
      </c>
      <c r="D60" s="16"/>
      <c r="E60" s="79">
        <v>3.06</v>
      </c>
      <c r="F60" s="16"/>
      <c r="G60" s="79">
        <v>3.27</v>
      </c>
      <c r="H60" s="16"/>
      <c r="I60" s="79">
        <v>3.61</v>
      </c>
      <c r="J60" s="16"/>
      <c r="K60" s="79">
        <v>3.35</v>
      </c>
      <c r="L60" s="16"/>
      <c r="M60" s="79">
        <v>587.98</v>
      </c>
      <c r="N60" s="16"/>
      <c r="O60" s="79">
        <v>1288.57</v>
      </c>
      <c r="P60" s="16">
        <f>-1070.69-1879.9</f>
        <v>-2950.59</v>
      </c>
      <c r="Q60" s="79">
        <v>757.63</v>
      </c>
      <c r="R60" s="16"/>
      <c r="S60" s="79">
        <v>1073.49</v>
      </c>
      <c r="T60" s="16">
        <f>-771.23-2192.93</f>
        <v>-2964.16</v>
      </c>
      <c r="U60" s="79">
        <v>11.92</v>
      </c>
      <c r="V60" s="16"/>
      <c r="W60" s="79">
        <v>4.3099999999999996</v>
      </c>
      <c r="X60" s="16"/>
      <c r="Y60" s="79">
        <v>3.7</v>
      </c>
      <c r="Z60" s="16"/>
      <c r="AA60" s="16"/>
      <c r="AB60" s="42">
        <f t="shared" si="1"/>
        <v>-2170.2000000000003</v>
      </c>
    </row>
    <row r="61" spans="1:28" ht="16.5" thickBot="1">
      <c r="A61" s="1" t="s">
        <v>49</v>
      </c>
      <c r="B61" s="36" t="s">
        <v>141</v>
      </c>
      <c r="C61" s="41" t="s">
        <v>202</v>
      </c>
      <c r="D61" s="16"/>
      <c r="E61" s="41" t="s">
        <v>202</v>
      </c>
      <c r="F61" s="16"/>
      <c r="G61" s="41" t="s">
        <v>202</v>
      </c>
      <c r="H61" s="16"/>
      <c r="I61" s="41" t="s">
        <v>202</v>
      </c>
      <c r="J61" s="16"/>
      <c r="K61" s="79">
        <v>5.66</v>
      </c>
      <c r="L61" s="16"/>
      <c r="M61" s="79">
        <v>9.2899999999999991</v>
      </c>
      <c r="N61" s="16"/>
      <c r="O61" s="79">
        <v>3.35</v>
      </c>
      <c r="P61" s="16"/>
      <c r="Q61" s="79">
        <v>0.67</v>
      </c>
      <c r="R61" s="16"/>
      <c r="S61" s="79">
        <v>1.82</v>
      </c>
      <c r="T61" s="16"/>
      <c r="U61" s="79">
        <v>8.67</v>
      </c>
      <c r="V61" s="16"/>
      <c r="W61" s="79">
        <v>21.7</v>
      </c>
      <c r="X61" s="16"/>
      <c r="Y61" s="41" t="s">
        <v>202</v>
      </c>
      <c r="Z61" s="16"/>
      <c r="AA61" s="16"/>
      <c r="AB61" s="42">
        <f t="shared" si="1"/>
        <v>51.16</v>
      </c>
    </row>
    <row r="62" spans="1:28" ht="16.5" thickBot="1">
      <c r="A62" s="1" t="s">
        <v>50</v>
      </c>
      <c r="B62" s="36" t="s">
        <v>142</v>
      </c>
      <c r="C62" s="79">
        <v>10.39</v>
      </c>
      <c r="D62" s="16">
        <v>-48.23</v>
      </c>
      <c r="E62" s="79">
        <v>8.6999999999999993</v>
      </c>
      <c r="F62" s="16"/>
      <c r="G62" s="79">
        <v>9.42</v>
      </c>
      <c r="H62" s="16"/>
      <c r="I62" s="79">
        <v>13.43</v>
      </c>
      <c r="J62" s="16"/>
      <c r="K62" s="79">
        <v>528.26</v>
      </c>
      <c r="L62" s="16">
        <v>-41.94</v>
      </c>
      <c r="M62" s="41" t="s">
        <v>202</v>
      </c>
      <c r="N62" s="16">
        <v>-528.26</v>
      </c>
      <c r="O62" s="41" t="s">
        <v>202</v>
      </c>
      <c r="P62" s="16"/>
      <c r="Q62" s="79">
        <v>203.31</v>
      </c>
      <c r="R62" s="16"/>
      <c r="S62" s="79">
        <v>371.42</v>
      </c>
      <c r="T62" s="16">
        <f>-1.69-203.31</f>
        <v>-205</v>
      </c>
      <c r="U62" s="79">
        <v>135.52000000000001</v>
      </c>
      <c r="V62" s="16">
        <f>-371.42-135.52</f>
        <v>-506.94000000000005</v>
      </c>
      <c r="W62" s="79">
        <v>8.14</v>
      </c>
      <c r="X62" s="16"/>
      <c r="Y62" s="79">
        <v>7.82</v>
      </c>
      <c r="Z62" s="16">
        <v>-20</v>
      </c>
      <c r="AA62" s="16"/>
      <c r="AB62" s="42">
        <f t="shared" si="1"/>
        <v>-53.960000000000072</v>
      </c>
    </row>
    <row r="63" spans="1:28" ht="16.5" thickBot="1">
      <c r="A63" s="1" t="s">
        <v>51</v>
      </c>
      <c r="B63" s="36" t="s">
        <v>143</v>
      </c>
      <c r="C63" s="41" t="s">
        <v>202</v>
      </c>
      <c r="D63" s="16"/>
      <c r="E63" s="41" t="s">
        <v>202</v>
      </c>
      <c r="F63" s="16"/>
      <c r="G63" s="41" t="s">
        <v>202</v>
      </c>
      <c r="H63" s="16"/>
      <c r="I63" s="41" t="s">
        <v>202</v>
      </c>
      <c r="J63" s="16"/>
      <c r="K63" s="41" t="s">
        <v>202</v>
      </c>
      <c r="L63" s="16"/>
      <c r="M63" s="41" t="s">
        <v>202</v>
      </c>
      <c r="N63" s="16"/>
      <c r="O63" s="41" t="s">
        <v>202</v>
      </c>
      <c r="P63" s="16"/>
      <c r="Q63" s="41" t="s">
        <v>202</v>
      </c>
      <c r="R63" s="16"/>
      <c r="S63" s="41" t="s">
        <v>202</v>
      </c>
      <c r="T63" s="16"/>
      <c r="U63" s="41" t="s">
        <v>202</v>
      </c>
      <c r="V63" s="16"/>
      <c r="W63" s="41" t="s">
        <v>202</v>
      </c>
      <c r="X63" s="16"/>
      <c r="Y63" s="41" t="s">
        <v>202</v>
      </c>
      <c r="Z63" s="16"/>
      <c r="AA63" s="16"/>
      <c r="AB63" s="42">
        <f t="shared" si="1"/>
        <v>0</v>
      </c>
    </row>
    <row r="64" spans="1:28" ht="16.5" thickBot="1">
      <c r="A64" s="48" t="s">
        <v>52</v>
      </c>
      <c r="B64" s="47" t="s">
        <v>144</v>
      </c>
      <c r="C64" s="57" t="s">
        <v>202</v>
      </c>
      <c r="D64" s="46"/>
      <c r="E64" s="57" t="s">
        <v>202</v>
      </c>
      <c r="F64" s="46"/>
      <c r="G64" s="57" t="s">
        <v>202</v>
      </c>
      <c r="H64" s="46"/>
      <c r="I64" s="80">
        <v>72.05</v>
      </c>
      <c r="J64" s="46"/>
      <c r="K64" s="80">
        <v>326.5</v>
      </c>
      <c r="L64" s="46"/>
      <c r="M64" s="80">
        <v>173.95</v>
      </c>
      <c r="N64" s="46">
        <v>-926.5</v>
      </c>
      <c r="O64" s="80">
        <v>265.67</v>
      </c>
      <c r="P64" s="46"/>
      <c r="Q64" s="80"/>
      <c r="R64" s="46">
        <v>-592.16999999999996</v>
      </c>
      <c r="S64" s="80"/>
      <c r="T64" s="46"/>
      <c r="U64" s="80"/>
      <c r="V64" s="46"/>
      <c r="W64" s="57" t="s">
        <v>213</v>
      </c>
      <c r="X64" s="46"/>
      <c r="Y64" s="57" t="s">
        <v>213</v>
      </c>
      <c r="Z64" s="46"/>
      <c r="AA64" s="46"/>
      <c r="AB64" s="42">
        <f t="shared" si="1"/>
        <v>-680.5</v>
      </c>
    </row>
    <row r="65" spans="1:28" ht="16.5" thickBot="1">
      <c r="A65" s="1" t="s">
        <v>53</v>
      </c>
      <c r="B65" s="36" t="s">
        <v>204</v>
      </c>
      <c r="C65" s="41" t="s">
        <v>202</v>
      </c>
      <c r="D65" s="16"/>
      <c r="E65" s="79">
        <v>0.05</v>
      </c>
      <c r="F65" s="16">
        <v>-3120</v>
      </c>
      <c r="G65" s="79">
        <v>2.12</v>
      </c>
      <c r="H65" s="16"/>
      <c r="I65" s="79">
        <v>1.38</v>
      </c>
      <c r="J65" s="16"/>
      <c r="K65" s="79">
        <v>339.99</v>
      </c>
      <c r="L65" s="16"/>
      <c r="M65" s="79">
        <v>116.96</v>
      </c>
      <c r="N65" s="16"/>
      <c r="O65" s="79">
        <v>56.14</v>
      </c>
      <c r="P65" s="16"/>
      <c r="Q65" s="79">
        <v>55.71</v>
      </c>
      <c r="R65" s="16">
        <v>-300</v>
      </c>
      <c r="S65" s="79">
        <v>107.15</v>
      </c>
      <c r="T65" s="16"/>
      <c r="U65" s="79">
        <v>123.53</v>
      </c>
      <c r="V65" s="16"/>
      <c r="W65" s="79">
        <v>11.35</v>
      </c>
      <c r="X65" s="16"/>
      <c r="Y65" s="79">
        <v>49.96</v>
      </c>
      <c r="Z65" s="16"/>
      <c r="AA65" s="16"/>
      <c r="AB65" s="42">
        <f t="shared" si="1"/>
        <v>-2555.66</v>
      </c>
    </row>
    <row r="66" spans="1:28" ht="16.5" thickBot="1">
      <c r="A66" s="1" t="s">
        <v>187</v>
      </c>
      <c r="B66" s="36" t="s">
        <v>145</v>
      </c>
      <c r="C66" s="79">
        <v>3.32</v>
      </c>
      <c r="D66" s="16"/>
      <c r="E66" s="79">
        <v>2.8</v>
      </c>
      <c r="F66" s="16"/>
      <c r="G66" s="79">
        <v>3.01</v>
      </c>
      <c r="H66" s="16"/>
      <c r="I66" s="79">
        <v>3.34</v>
      </c>
      <c r="J66" s="16"/>
      <c r="K66" s="79">
        <v>4.95</v>
      </c>
      <c r="L66" s="16"/>
      <c r="M66" s="79">
        <v>49.7</v>
      </c>
      <c r="N66" s="16"/>
      <c r="O66" s="79">
        <v>60</v>
      </c>
      <c r="P66" s="16"/>
      <c r="Q66" s="79">
        <v>130.09</v>
      </c>
      <c r="R66" s="16"/>
      <c r="S66" s="79">
        <v>7</v>
      </c>
      <c r="T66" s="16"/>
      <c r="U66" s="79">
        <v>7.15</v>
      </c>
      <c r="V66" s="16"/>
      <c r="W66" s="79">
        <v>3.48</v>
      </c>
      <c r="X66" s="16"/>
      <c r="Y66" s="79">
        <v>3.25</v>
      </c>
      <c r="Z66" s="16"/>
      <c r="AA66" s="16"/>
      <c r="AB66" s="42">
        <f t="shared" si="1"/>
        <v>278.09000000000003</v>
      </c>
    </row>
    <row r="67" spans="1:28" ht="16.5" thickBot="1">
      <c r="A67" s="1" t="s">
        <v>54</v>
      </c>
      <c r="B67" s="36" t="s">
        <v>146</v>
      </c>
      <c r="C67" s="79">
        <v>3.72</v>
      </c>
      <c r="D67" s="16"/>
      <c r="E67" s="79">
        <v>3.12</v>
      </c>
      <c r="F67" s="16"/>
      <c r="G67" s="79">
        <v>3.4</v>
      </c>
      <c r="H67" s="16"/>
      <c r="I67" s="79">
        <v>3.72</v>
      </c>
      <c r="J67" s="16"/>
      <c r="K67" s="79">
        <v>145.71</v>
      </c>
      <c r="L67" s="16"/>
      <c r="M67" s="79">
        <v>1094.81</v>
      </c>
      <c r="N67" s="16"/>
      <c r="O67" s="79">
        <v>1630.95</v>
      </c>
      <c r="P67" s="16">
        <v>-3987</v>
      </c>
      <c r="Q67" s="79">
        <v>534.41</v>
      </c>
      <c r="R67" s="16"/>
      <c r="S67" s="79">
        <v>1177.71</v>
      </c>
      <c r="T67" s="16"/>
      <c r="U67" s="79">
        <v>536.12</v>
      </c>
      <c r="V67" s="16"/>
      <c r="W67" s="79">
        <v>4.26</v>
      </c>
      <c r="X67" s="16"/>
      <c r="Y67" s="79">
        <v>3.84</v>
      </c>
      <c r="Z67" s="16"/>
      <c r="AA67" s="16"/>
      <c r="AB67" s="42">
        <f t="shared" si="1"/>
        <v>1154.7700000000002</v>
      </c>
    </row>
    <row r="68" spans="1:28" ht="16.5" thickBot="1">
      <c r="A68" s="12" t="s">
        <v>55</v>
      </c>
      <c r="B68" s="36" t="s">
        <v>147</v>
      </c>
      <c r="C68" s="79">
        <v>0.88</v>
      </c>
      <c r="D68" s="16"/>
      <c r="E68" s="79">
        <v>0.75</v>
      </c>
      <c r="F68" s="16"/>
      <c r="G68" s="79">
        <v>0.77</v>
      </c>
      <c r="H68" s="16"/>
      <c r="I68" s="79">
        <v>0.92</v>
      </c>
      <c r="J68" s="16">
        <v>-700</v>
      </c>
      <c r="K68" s="79">
        <v>1.29</v>
      </c>
      <c r="L68" s="16"/>
      <c r="M68" s="41" t="s">
        <v>202</v>
      </c>
      <c r="N68" s="16"/>
      <c r="O68" s="79">
        <v>260.35000000000002</v>
      </c>
      <c r="P68" s="16"/>
      <c r="Q68" s="79">
        <v>431.8</v>
      </c>
      <c r="R68" s="16"/>
      <c r="S68" s="79">
        <v>98.81</v>
      </c>
      <c r="T68" s="16">
        <v>-1000</v>
      </c>
      <c r="U68" s="79">
        <v>0.7</v>
      </c>
      <c r="V68" s="16"/>
      <c r="W68" s="79">
        <v>0.91</v>
      </c>
      <c r="X68" s="16"/>
      <c r="Y68" s="79">
        <v>0.67</v>
      </c>
      <c r="Z68" s="16"/>
      <c r="AA68" s="16"/>
      <c r="AB68" s="42">
        <f t="shared" si="1"/>
        <v>-902.15</v>
      </c>
    </row>
    <row r="69" spans="1:28" ht="16.5" thickBot="1">
      <c r="A69" s="12" t="s">
        <v>56</v>
      </c>
      <c r="B69" s="36" t="s">
        <v>148</v>
      </c>
      <c r="C69" s="41" t="s">
        <v>202</v>
      </c>
      <c r="D69" s="16"/>
      <c r="E69" s="41" t="s">
        <v>202</v>
      </c>
      <c r="F69" s="16"/>
      <c r="G69" s="79">
        <v>0.23</v>
      </c>
      <c r="H69" s="16"/>
      <c r="I69" s="79">
        <v>43.8</v>
      </c>
      <c r="J69" s="16"/>
      <c r="K69" s="79">
        <v>185.89</v>
      </c>
      <c r="L69" s="16"/>
      <c r="M69" s="41" t="s">
        <v>202</v>
      </c>
      <c r="N69" s="16"/>
      <c r="O69" s="79">
        <v>80.680000000000007</v>
      </c>
      <c r="P69" s="16"/>
      <c r="Q69" s="79">
        <v>330.99</v>
      </c>
      <c r="R69" s="16">
        <v>-400</v>
      </c>
      <c r="S69" s="79">
        <v>242.28</v>
      </c>
      <c r="T69" s="16"/>
      <c r="U69" s="79">
        <v>183.28</v>
      </c>
      <c r="V69" s="16"/>
      <c r="W69" s="79">
        <v>64.86</v>
      </c>
      <c r="X69" s="16"/>
      <c r="Y69" s="79">
        <v>2.83</v>
      </c>
      <c r="Z69" s="16"/>
      <c r="AA69" s="16"/>
      <c r="AB69" s="42">
        <f t="shared" si="1"/>
        <v>734.84</v>
      </c>
    </row>
    <row r="70" spans="1:28" ht="16.5" thickBot="1">
      <c r="A70" s="82" t="s">
        <v>57</v>
      </c>
      <c r="B70" s="36" t="s">
        <v>150</v>
      </c>
      <c r="C70" s="79">
        <v>4.24</v>
      </c>
      <c r="D70" s="16"/>
      <c r="E70" s="79">
        <v>3.55</v>
      </c>
      <c r="F70" s="16"/>
      <c r="G70" s="79">
        <v>3.81</v>
      </c>
      <c r="H70" s="16"/>
      <c r="I70" s="79">
        <v>4.24</v>
      </c>
      <c r="J70" s="16"/>
      <c r="K70" s="79">
        <v>59.32</v>
      </c>
      <c r="L70" s="16"/>
      <c r="M70" s="79">
        <v>340.52</v>
      </c>
      <c r="N70" s="16"/>
      <c r="O70" s="79">
        <v>392.75</v>
      </c>
      <c r="P70" s="16"/>
      <c r="Q70" s="79">
        <v>220.96</v>
      </c>
      <c r="R70" s="16"/>
      <c r="S70" s="79">
        <v>59.15</v>
      </c>
      <c r="T70" s="16"/>
      <c r="U70" s="79">
        <v>8.0399999999999991</v>
      </c>
      <c r="V70" s="16">
        <v>-1250</v>
      </c>
      <c r="W70" s="79">
        <v>36.049999999999997</v>
      </c>
      <c r="X70" s="16"/>
      <c r="Y70" s="79">
        <v>4.16</v>
      </c>
      <c r="Z70" s="16"/>
      <c r="AA70" s="16"/>
      <c r="AB70" s="42">
        <f t="shared" si="1"/>
        <v>-113.21000000000008</v>
      </c>
    </row>
    <row r="71" spans="1:28" ht="16.5" thickBot="1">
      <c r="A71" s="82" t="s">
        <v>58</v>
      </c>
      <c r="B71" s="36" t="s">
        <v>149</v>
      </c>
      <c r="C71" s="79">
        <v>3.24</v>
      </c>
      <c r="D71" s="16"/>
      <c r="E71" s="79">
        <v>2.81</v>
      </c>
      <c r="F71" s="16"/>
      <c r="G71" s="79">
        <v>3</v>
      </c>
      <c r="H71" s="16"/>
      <c r="I71" s="79">
        <v>6.94</v>
      </c>
      <c r="J71" s="16"/>
      <c r="K71" s="79">
        <v>7.4</v>
      </c>
      <c r="L71" s="16"/>
      <c r="M71" s="41" t="s">
        <v>202</v>
      </c>
      <c r="N71" s="16"/>
      <c r="O71" s="79">
        <v>152.81</v>
      </c>
      <c r="P71" s="16"/>
      <c r="Q71" s="79">
        <v>195.23</v>
      </c>
      <c r="R71" s="16"/>
      <c r="S71" s="79">
        <v>35.81</v>
      </c>
      <c r="T71" s="16"/>
      <c r="U71" s="79">
        <v>11.52</v>
      </c>
      <c r="V71" s="16">
        <v>-500</v>
      </c>
      <c r="W71" s="79">
        <v>5.33</v>
      </c>
      <c r="X71" s="16"/>
      <c r="Y71" s="79">
        <v>3.54</v>
      </c>
      <c r="Z71" s="16"/>
      <c r="AA71" s="16"/>
      <c r="AB71" s="42">
        <f t="shared" si="1"/>
        <v>-72.370000000000061</v>
      </c>
    </row>
    <row r="72" spans="1:28" ht="16.5" thickBot="1">
      <c r="A72" s="1" t="s">
        <v>59</v>
      </c>
      <c r="B72" s="36" t="s">
        <v>151</v>
      </c>
      <c r="C72" s="79">
        <v>3.26</v>
      </c>
      <c r="D72" s="16"/>
      <c r="E72" s="79">
        <v>2.75</v>
      </c>
      <c r="F72" s="16"/>
      <c r="G72" s="79">
        <v>3.03</v>
      </c>
      <c r="H72" s="16"/>
      <c r="I72" s="79">
        <v>3.23</v>
      </c>
      <c r="J72" s="16"/>
      <c r="K72" s="79">
        <v>27.45</v>
      </c>
      <c r="L72" s="16"/>
      <c r="M72" s="79">
        <v>96.82</v>
      </c>
      <c r="N72" s="16"/>
      <c r="O72" s="79">
        <v>79.87</v>
      </c>
      <c r="P72" s="16"/>
      <c r="Q72" s="79">
        <v>83.1</v>
      </c>
      <c r="R72" s="16">
        <v>-261</v>
      </c>
      <c r="S72" s="79">
        <v>92.51</v>
      </c>
      <c r="T72" s="16"/>
      <c r="U72" s="79">
        <v>69.69</v>
      </c>
      <c r="V72" s="16"/>
      <c r="W72" s="79">
        <v>6.89</v>
      </c>
      <c r="X72" s="16"/>
      <c r="Y72" s="79">
        <v>1.1499999999999999</v>
      </c>
      <c r="Z72" s="16"/>
      <c r="AA72" s="16"/>
      <c r="AB72" s="42">
        <f t="shared" si="1"/>
        <v>208.74999999999997</v>
      </c>
    </row>
    <row r="73" spans="1:28" ht="16.5" thickBot="1">
      <c r="A73" s="1" t="s">
        <v>60</v>
      </c>
      <c r="B73" s="36" t="s">
        <v>152</v>
      </c>
      <c r="C73" s="41" t="s">
        <v>202</v>
      </c>
      <c r="D73" s="16"/>
      <c r="E73" s="41" t="s">
        <v>202</v>
      </c>
      <c r="F73" s="16"/>
      <c r="G73" s="41" t="s">
        <v>202</v>
      </c>
      <c r="H73" s="16"/>
      <c r="I73" s="41" t="s">
        <v>202</v>
      </c>
      <c r="J73" s="16"/>
      <c r="K73" s="79">
        <v>60.48</v>
      </c>
      <c r="L73" s="16"/>
      <c r="M73" s="79">
        <v>21.49</v>
      </c>
      <c r="N73" s="16"/>
      <c r="O73" s="79">
        <v>61.79</v>
      </c>
      <c r="P73" s="16"/>
      <c r="Q73" s="79">
        <v>26.11</v>
      </c>
      <c r="R73" s="16"/>
      <c r="S73" s="79">
        <v>56.82</v>
      </c>
      <c r="T73" s="16"/>
      <c r="U73" s="79">
        <v>93.17</v>
      </c>
      <c r="V73" s="16"/>
      <c r="W73" s="41" t="s">
        <v>202</v>
      </c>
      <c r="X73" s="16"/>
      <c r="Y73" s="41" t="s">
        <v>202</v>
      </c>
      <c r="Z73" s="16"/>
      <c r="AA73" s="16"/>
      <c r="AB73" s="42">
        <f t="shared" si="1"/>
        <v>319.86</v>
      </c>
    </row>
    <row r="74" spans="1:28" ht="16.5" thickBot="1">
      <c r="A74" s="1" t="s">
        <v>61</v>
      </c>
      <c r="B74" s="36" t="s">
        <v>153</v>
      </c>
      <c r="C74" s="79">
        <v>1.03</v>
      </c>
      <c r="D74" s="16"/>
      <c r="E74" s="79">
        <v>0.95</v>
      </c>
      <c r="F74" s="16"/>
      <c r="G74" s="79">
        <v>0.88</v>
      </c>
      <c r="H74" s="16"/>
      <c r="I74" s="79">
        <v>0.97</v>
      </c>
      <c r="J74" s="16"/>
      <c r="K74" s="79">
        <v>125.68</v>
      </c>
      <c r="L74" s="16">
        <v>-1000</v>
      </c>
      <c r="M74" s="79">
        <v>416.7</v>
      </c>
      <c r="N74" s="16"/>
      <c r="O74" s="79">
        <v>481.48</v>
      </c>
      <c r="P74" s="16">
        <f>-450-500</f>
        <v>-950</v>
      </c>
      <c r="Q74" s="79">
        <v>470.9</v>
      </c>
      <c r="R74" s="16">
        <v>-500</v>
      </c>
      <c r="S74" s="79">
        <v>485.57</v>
      </c>
      <c r="T74" s="16"/>
      <c r="U74" s="79">
        <v>26.96</v>
      </c>
      <c r="V74" s="16"/>
      <c r="W74" s="79">
        <v>1.01</v>
      </c>
      <c r="X74" s="16"/>
      <c r="Y74" s="79">
        <v>0.91</v>
      </c>
      <c r="Z74" s="16"/>
      <c r="AA74" s="16"/>
      <c r="AB74" s="42">
        <f t="shared" si="1"/>
        <v>-436.96</v>
      </c>
    </row>
    <row r="75" spans="1:28" ht="16.5" thickBot="1">
      <c r="A75" s="1" t="s">
        <v>62</v>
      </c>
      <c r="B75" s="36" t="s">
        <v>154</v>
      </c>
      <c r="C75" s="41" t="s">
        <v>202</v>
      </c>
      <c r="D75" s="16"/>
      <c r="E75" s="41" t="s">
        <v>202</v>
      </c>
      <c r="F75" s="16"/>
      <c r="G75" s="41" t="s">
        <v>202</v>
      </c>
      <c r="H75" s="16"/>
      <c r="I75" s="41" t="s">
        <v>202</v>
      </c>
      <c r="J75" s="16"/>
      <c r="K75" s="79">
        <v>283.70999999999998</v>
      </c>
      <c r="L75" s="16"/>
      <c r="M75" s="79">
        <v>463.05</v>
      </c>
      <c r="N75" s="16">
        <v>-300</v>
      </c>
      <c r="O75" s="79">
        <v>457.16</v>
      </c>
      <c r="P75" s="16">
        <f>-483.05-301</f>
        <v>-784.05</v>
      </c>
      <c r="Q75" s="79">
        <v>347.3</v>
      </c>
      <c r="R75" s="16"/>
      <c r="S75" s="79">
        <v>835.5</v>
      </c>
      <c r="T75" s="16">
        <v>-500</v>
      </c>
      <c r="U75" s="79">
        <v>8.73</v>
      </c>
      <c r="V75" s="16">
        <v>-1000</v>
      </c>
      <c r="W75" s="41" t="s">
        <v>202</v>
      </c>
      <c r="X75" s="16"/>
      <c r="Y75" s="41" t="s">
        <v>202</v>
      </c>
      <c r="Z75" s="16"/>
      <c r="AA75" s="16"/>
      <c r="AB75" s="42">
        <f t="shared" ref="AB75:AB100" si="2">SUM(C75:AA75)</f>
        <v>-188.59999999999991</v>
      </c>
    </row>
    <row r="76" spans="1:28" ht="16.5" thickBot="1">
      <c r="A76" s="48" t="s">
        <v>63</v>
      </c>
      <c r="B76" s="47" t="s">
        <v>173</v>
      </c>
      <c r="C76" s="80">
        <v>3.69</v>
      </c>
      <c r="D76" s="46"/>
      <c r="E76" s="80">
        <v>3.12</v>
      </c>
      <c r="F76" s="46"/>
      <c r="G76" s="80">
        <v>3.29</v>
      </c>
      <c r="H76" s="46"/>
      <c r="I76" s="80">
        <v>4</v>
      </c>
      <c r="J76" s="46"/>
      <c r="K76" s="80">
        <v>107.99</v>
      </c>
      <c r="L76" s="46"/>
      <c r="M76" s="80">
        <v>199.81</v>
      </c>
      <c r="N76" s="46"/>
      <c r="O76" s="80">
        <v>215.54</v>
      </c>
      <c r="P76" s="46">
        <v>-108</v>
      </c>
      <c r="Q76" s="80"/>
      <c r="R76" s="46">
        <v>-2100</v>
      </c>
      <c r="S76" s="80"/>
      <c r="T76" s="46"/>
      <c r="U76" s="80"/>
      <c r="V76" s="46"/>
      <c r="W76" s="80"/>
      <c r="X76" s="46"/>
      <c r="Y76" s="80"/>
      <c r="Z76" s="46"/>
      <c r="AA76" s="46"/>
      <c r="AB76" s="42">
        <f t="shared" si="2"/>
        <v>-1670.56</v>
      </c>
    </row>
    <row r="77" spans="1:28" ht="16.5" thickBot="1">
      <c r="A77" s="48" t="s">
        <v>186</v>
      </c>
      <c r="B77" s="47" t="s">
        <v>173</v>
      </c>
      <c r="C77" s="80">
        <v>0.66</v>
      </c>
      <c r="D77" s="46"/>
      <c r="E77" s="80">
        <v>0.54</v>
      </c>
      <c r="F77" s="46"/>
      <c r="G77" s="80">
        <v>0.63</v>
      </c>
      <c r="H77" s="46"/>
      <c r="I77" s="80">
        <v>1343.79</v>
      </c>
      <c r="J77" s="46"/>
      <c r="K77" s="80">
        <v>240.46</v>
      </c>
      <c r="L77" s="46"/>
      <c r="M77" s="80">
        <v>18.329999999999998</v>
      </c>
      <c r="N77" s="46"/>
      <c r="O77" s="80">
        <v>40.44</v>
      </c>
      <c r="P77" s="46">
        <v>-240.4</v>
      </c>
      <c r="Q77" s="80"/>
      <c r="R77" s="46"/>
      <c r="S77" s="80"/>
      <c r="T77" s="46"/>
      <c r="U77" s="80"/>
      <c r="V77" s="46"/>
      <c r="W77" s="57" t="s">
        <v>213</v>
      </c>
      <c r="X77" s="46"/>
      <c r="Y77" s="57" t="s">
        <v>213</v>
      </c>
      <c r="Z77" s="46"/>
      <c r="AA77" s="46"/>
      <c r="AB77" s="42">
        <f t="shared" si="2"/>
        <v>1404.4499999999998</v>
      </c>
    </row>
    <row r="78" spans="1:28" ht="16.5" thickBot="1">
      <c r="A78" s="74" t="s">
        <v>64</v>
      </c>
      <c r="B78" s="73" t="s">
        <v>174</v>
      </c>
      <c r="C78" s="81">
        <v>1183.93</v>
      </c>
      <c r="D78" s="72"/>
      <c r="E78" s="81">
        <v>1004.69</v>
      </c>
      <c r="F78" s="72"/>
      <c r="G78" s="81">
        <v>757.25</v>
      </c>
      <c r="H78" s="72"/>
      <c r="I78" s="81">
        <v>783.39</v>
      </c>
      <c r="J78" s="72"/>
      <c r="K78" s="81">
        <v>651.99</v>
      </c>
      <c r="L78" s="72">
        <v>-6823.23</v>
      </c>
      <c r="M78" s="81">
        <v>1048.1600000000001</v>
      </c>
      <c r="N78" s="72">
        <v>-1784.26</v>
      </c>
      <c r="O78" s="81">
        <v>1004.02</v>
      </c>
      <c r="P78" s="72"/>
      <c r="Q78" s="81">
        <v>1168.5999999999999</v>
      </c>
      <c r="R78" s="72"/>
      <c r="S78" s="81">
        <v>841.07</v>
      </c>
      <c r="T78" s="72"/>
      <c r="U78" s="81">
        <v>1330.2</v>
      </c>
      <c r="V78" s="72"/>
      <c r="W78" s="81">
        <v>847.79</v>
      </c>
      <c r="X78" s="72"/>
      <c r="Y78" s="81">
        <v>646.12</v>
      </c>
      <c r="Z78" s="72">
        <v>-5897.17</v>
      </c>
      <c r="AA78" s="72"/>
      <c r="AB78" s="42">
        <f t="shared" si="2"/>
        <v>-3237.45</v>
      </c>
    </row>
    <row r="79" spans="1:28" ht="16.5" thickBot="1">
      <c r="A79" s="74" t="s">
        <v>185</v>
      </c>
      <c r="B79" s="73" t="s">
        <v>174</v>
      </c>
      <c r="C79" s="81">
        <v>785.31</v>
      </c>
      <c r="D79" s="72"/>
      <c r="E79" s="81">
        <v>15.38</v>
      </c>
      <c r="F79" s="72"/>
      <c r="G79" s="81">
        <v>53.03</v>
      </c>
      <c r="H79" s="72"/>
      <c r="I79" s="81">
        <v>0.61</v>
      </c>
      <c r="J79" s="72"/>
      <c r="K79" s="81">
        <v>12.73</v>
      </c>
      <c r="L79" s="72"/>
      <c r="M79" s="81">
        <v>71.38</v>
      </c>
      <c r="N79" s="72"/>
      <c r="O79" s="81">
        <v>79.08</v>
      </c>
      <c r="P79" s="72"/>
      <c r="Q79" s="81">
        <v>71.45</v>
      </c>
      <c r="R79" s="72"/>
      <c r="S79" s="81">
        <v>23.58</v>
      </c>
      <c r="T79" s="72"/>
      <c r="U79" s="81">
        <v>520.24</v>
      </c>
      <c r="V79" s="72"/>
      <c r="W79" s="81">
        <v>11.14</v>
      </c>
      <c r="X79" s="72"/>
      <c r="Y79" s="81">
        <v>63.71</v>
      </c>
      <c r="Z79" s="72"/>
      <c r="AA79" s="72"/>
      <c r="AB79" s="42">
        <f t="shared" si="2"/>
        <v>1707.64</v>
      </c>
    </row>
    <row r="80" spans="1:28" ht="16.5" thickBot="1">
      <c r="A80" s="1" t="s">
        <v>65</v>
      </c>
      <c r="B80" s="36" t="s">
        <v>175</v>
      </c>
      <c r="C80" s="79">
        <v>0.91</v>
      </c>
      <c r="D80" s="16"/>
      <c r="E80" s="79">
        <v>0.69</v>
      </c>
      <c r="F80" s="16"/>
      <c r="G80" s="79">
        <v>0.81</v>
      </c>
      <c r="H80" s="16"/>
      <c r="I80" s="79">
        <v>0.86</v>
      </c>
      <c r="J80" s="16"/>
      <c r="K80" s="79">
        <v>54.04</v>
      </c>
      <c r="L80" s="16"/>
      <c r="M80" s="79">
        <v>38.130000000000003</v>
      </c>
      <c r="N80" s="16"/>
      <c r="O80" s="79">
        <v>35.56</v>
      </c>
      <c r="P80" s="16"/>
      <c r="Q80" s="79">
        <v>33.35</v>
      </c>
      <c r="R80" s="16"/>
      <c r="S80" s="79">
        <v>7.19</v>
      </c>
      <c r="T80" s="16">
        <v>-400</v>
      </c>
      <c r="U80" s="79">
        <v>38.25</v>
      </c>
      <c r="V80" s="16"/>
      <c r="W80" s="79">
        <v>0.9</v>
      </c>
      <c r="X80" s="16"/>
      <c r="Y80" s="79">
        <v>0.9</v>
      </c>
      <c r="Z80" s="16"/>
      <c r="AA80" s="16"/>
      <c r="AB80" s="42">
        <f t="shared" si="2"/>
        <v>-188.41</v>
      </c>
    </row>
    <row r="81" spans="1:28" ht="16.5" thickBot="1">
      <c r="A81" s="48" t="s">
        <v>66</v>
      </c>
      <c r="B81" s="47" t="s">
        <v>176</v>
      </c>
      <c r="C81" s="80"/>
      <c r="D81" s="46">
        <v>-1433.28</v>
      </c>
      <c r="E81" s="80"/>
      <c r="F81" s="46"/>
      <c r="G81" s="80"/>
      <c r="H81" s="46"/>
      <c r="I81" s="80"/>
      <c r="J81" s="46"/>
      <c r="K81" s="80"/>
      <c r="L81" s="46"/>
      <c r="M81" s="80"/>
      <c r="N81" s="46"/>
      <c r="O81" s="80"/>
      <c r="P81" s="46">
        <v>-366.87</v>
      </c>
      <c r="Q81" s="80"/>
      <c r="R81" s="46"/>
      <c r="S81" s="80"/>
      <c r="T81" s="46"/>
      <c r="U81" s="80"/>
      <c r="V81" s="46"/>
      <c r="W81" s="80"/>
      <c r="X81" s="46"/>
      <c r="Y81" s="80"/>
      <c r="Z81" s="46"/>
      <c r="AA81" s="46"/>
      <c r="AB81" s="42">
        <f t="shared" si="2"/>
        <v>-1800.15</v>
      </c>
    </row>
    <row r="82" spans="1:28" ht="16.5" thickBot="1">
      <c r="A82" s="1" t="s">
        <v>67</v>
      </c>
      <c r="B82" s="36" t="s">
        <v>177</v>
      </c>
      <c r="C82" s="79">
        <v>3.14</v>
      </c>
      <c r="D82" s="16"/>
      <c r="E82" s="79">
        <v>2.69</v>
      </c>
      <c r="F82" s="16"/>
      <c r="G82" s="79">
        <v>2.86</v>
      </c>
      <c r="H82" s="16"/>
      <c r="I82" s="79">
        <v>3.18</v>
      </c>
      <c r="J82" s="16"/>
      <c r="K82" s="79">
        <v>483.34</v>
      </c>
      <c r="L82" s="16">
        <v>-441.43</v>
      </c>
      <c r="M82" s="79">
        <v>508.4</v>
      </c>
      <c r="N82" s="16"/>
      <c r="O82" s="79">
        <v>427.07</v>
      </c>
      <c r="P82" s="16">
        <v>-508.4</v>
      </c>
      <c r="Q82" s="79">
        <v>609.09</v>
      </c>
      <c r="R82" s="16"/>
      <c r="S82" s="79">
        <v>139.62</v>
      </c>
      <c r="T82" s="16">
        <v>-1036.1600000000001</v>
      </c>
      <c r="U82" s="79">
        <v>4.45</v>
      </c>
      <c r="V82" s="16"/>
      <c r="W82" s="79">
        <v>3.27</v>
      </c>
      <c r="X82" s="16"/>
      <c r="Y82" s="79">
        <v>3.14</v>
      </c>
      <c r="Z82" s="16"/>
      <c r="AA82" s="16"/>
      <c r="AB82" s="42">
        <f t="shared" si="2"/>
        <v>204.25999999999985</v>
      </c>
    </row>
    <row r="83" spans="1:28" ht="16.5" thickBot="1">
      <c r="A83" s="1" t="s">
        <v>68</v>
      </c>
      <c r="B83" s="36" t="s">
        <v>178</v>
      </c>
      <c r="C83" s="41" t="s">
        <v>202</v>
      </c>
      <c r="D83" s="16"/>
      <c r="E83" s="41" t="s">
        <v>202</v>
      </c>
      <c r="F83" s="16"/>
      <c r="G83" s="41" t="s">
        <v>202</v>
      </c>
      <c r="H83" s="16"/>
      <c r="I83" s="79">
        <v>2.71</v>
      </c>
      <c r="J83" s="16"/>
      <c r="K83" s="79">
        <v>57.67</v>
      </c>
      <c r="L83" s="16"/>
      <c r="M83" s="41" t="s">
        <v>202</v>
      </c>
      <c r="N83" s="16">
        <v>-57.67</v>
      </c>
      <c r="O83" s="79">
        <v>601.24</v>
      </c>
      <c r="P83" s="16">
        <f>-905.58-601.24</f>
        <v>-1506.8200000000002</v>
      </c>
      <c r="Q83" s="79">
        <v>815.26</v>
      </c>
      <c r="R83" s="16">
        <v>-815.26</v>
      </c>
      <c r="S83" s="79">
        <v>737.8</v>
      </c>
      <c r="T83" s="16"/>
      <c r="U83" s="79">
        <v>641.88</v>
      </c>
      <c r="V83" s="16"/>
      <c r="W83" s="79">
        <v>348.19</v>
      </c>
      <c r="X83" s="16"/>
      <c r="Y83" s="41" t="s">
        <v>202</v>
      </c>
      <c r="Z83" s="16">
        <v>-1727.87</v>
      </c>
      <c r="AA83" s="16"/>
      <c r="AB83" s="42">
        <f t="shared" si="2"/>
        <v>-902.87000000000012</v>
      </c>
    </row>
    <row r="84" spans="1:28" ht="16.5" thickBot="1">
      <c r="A84" s="1" t="s">
        <v>184</v>
      </c>
      <c r="B84" s="36" t="s">
        <v>183</v>
      </c>
      <c r="C84" s="79">
        <v>0.23</v>
      </c>
      <c r="D84" s="16"/>
      <c r="E84" s="79">
        <v>0.14000000000000001</v>
      </c>
      <c r="F84" s="16"/>
      <c r="G84" s="79">
        <v>0.14000000000000001</v>
      </c>
      <c r="H84" s="16"/>
      <c r="I84" s="79">
        <v>47.83</v>
      </c>
      <c r="J84" s="16"/>
      <c r="K84" s="79">
        <v>3.33</v>
      </c>
      <c r="L84" s="16"/>
      <c r="M84" s="79">
        <v>7.01</v>
      </c>
      <c r="N84" s="16"/>
      <c r="O84" s="79">
        <v>9.69</v>
      </c>
      <c r="P84" s="16"/>
      <c r="Q84" s="79">
        <v>15.15</v>
      </c>
      <c r="R84" s="16"/>
      <c r="S84" s="79">
        <v>5.03</v>
      </c>
      <c r="T84" s="16"/>
      <c r="U84" s="79">
        <v>2.25</v>
      </c>
      <c r="V84" s="16"/>
      <c r="W84" s="79">
        <v>0.34</v>
      </c>
      <c r="X84" s="16"/>
      <c r="Y84" s="79">
        <v>0.21</v>
      </c>
      <c r="Z84" s="16"/>
      <c r="AA84" s="16"/>
      <c r="AB84" s="42">
        <f t="shared" si="2"/>
        <v>91.35</v>
      </c>
    </row>
    <row r="85" spans="1:28" ht="16.5" thickBot="1">
      <c r="A85" s="48" t="s">
        <v>69</v>
      </c>
      <c r="B85" s="47" t="s">
        <v>155</v>
      </c>
      <c r="C85" s="80">
        <v>0.11</v>
      </c>
      <c r="D85" s="46"/>
      <c r="E85" s="80">
        <v>0.11</v>
      </c>
      <c r="F85" s="46"/>
      <c r="G85" s="80">
        <v>0.2</v>
      </c>
      <c r="H85" s="46"/>
      <c r="I85" s="80">
        <v>0.09</v>
      </c>
      <c r="J85" s="46"/>
      <c r="K85" s="80">
        <v>138.66999999999999</v>
      </c>
      <c r="L85" s="46"/>
      <c r="M85" s="80">
        <v>171.04</v>
      </c>
      <c r="N85" s="46"/>
      <c r="O85" s="80">
        <v>177.22</v>
      </c>
      <c r="P85" s="46"/>
      <c r="Q85" s="80">
        <v>205.57</v>
      </c>
      <c r="R85" s="46"/>
      <c r="S85" s="80">
        <v>262.11</v>
      </c>
      <c r="T85" s="46">
        <v>-558</v>
      </c>
      <c r="U85" s="80"/>
      <c r="V85" s="46">
        <v>-520.03</v>
      </c>
      <c r="W85" s="80"/>
      <c r="X85" s="46"/>
      <c r="Y85" s="80"/>
      <c r="Z85" s="46"/>
      <c r="AA85" s="46"/>
      <c r="AB85" s="42">
        <f t="shared" si="2"/>
        <v>-122.90999999999997</v>
      </c>
    </row>
    <row r="86" spans="1:28" ht="16.5" thickBot="1">
      <c r="A86" s="1" t="s">
        <v>70</v>
      </c>
      <c r="B86" s="36" t="s">
        <v>156</v>
      </c>
      <c r="C86" s="79">
        <v>3.95</v>
      </c>
      <c r="D86" s="16"/>
      <c r="E86" s="79">
        <v>3.52</v>
      </c>
      <c r="F86" s="16"/>
      <c r="G86" s="79">
        <v>4.12</v>
      </c>
      <c r="H86" s="16"/>
      <c r="I86" s="79">
        <v>8</v>
      </c>
      <c r="J86" s="16"/>
      <c r="K86" s="79">
        <v>414.5</v>
      </c>
      <c r="L86" s="16"/>
      <c r="M86" s="79">
        <v>306.94</v>
      </c>
      <c r="N86" s="16"/>
      <c r="O86" s="79">
        <v>359.6</v>
      </c>
      <c r="P86" s="16"/>
      <c r="Q86" s="79">
        <v>203.69</v>
      </c>
      <c r="R86" s="16"/>
      <c r="S86" s="79">
        <v>155.77000000000001</v>
      </c>
      <c r="T86" s="16"/>
      <c r="U86" s="79">
        <v>248.63</v>
      </c>
      <c r="V86" s="16"/>
      <c r="W86" s="79">
        <v>4.21</v>
      </c>
      <c r="X86" s="16">
        <v>-1980</v>
      </c>
      <c r="Y86" s="79">
        <v>22.41</v>
      </c>
      <c r="Z86" s="16"/>
      <c r="AA86" s="16"/>
      <c r="AB86" s="42">
        <f t="shared" si="2"/>
        <v>-244.65999999999971</v>
      </c>
    </row>
    <row r="87" spans="1:28" ht="16.5" thickBot="1">
      <c r="A87" s="1" t="s">
        <v>71</v>
      </c>
      <c r="B87" s="36" t="s">
        <v>157</v>
      </c>
      <c r="C87" s="41" t="s">
        <v>202</v>
      </c>
      <c r="D87" s="16"/>
      <c r="E87" s="41" t="s">
        <v>202</v>
      </c>
      <c r="F87" s="16"/>
      <c r="G87" s="41" t="s">
        <v>202</v>
      </c>
      <c r="H87" s="16"/>
      <c r="I87" s="79">
        <v>1.33</v>
      </c>
      <c r="J87" s="16"/>
      <c r="K87" s="79">
        <v>483.14</v>
      </c>
      <c r="L87" s="16"/>
      <c r="M87" s="41" t="s">
        <v>202</v>
      </c>
      <c r="N87" s="16">
        <v>-483.14</v>
      </c>
      <c r="O87" s="79">
        <v>503.94</v>
      </c>
      <c r="P87" s="16"/>
      <c r="Q87" s="79">
        <v>619.9</v>
      </c>
      <c r="R87" s="16"/>
      <c r="S87" s="79">
        <v>1390.85</v>
      </c>
      <c r="T87" s="16">
        <v>-503.94</v>
      </c>
      <c r="U87" s="79">
        <v>190.7</v>
      </c>
      <c r="V87" s="16">
        <v>-619.9</v>
      </c>
      <c r="W87" s="79">
        <v>24.33</v>
      </c>
      <c r="X87" s="16">
        <v>-1390.85</v>
      </c>
      <c r="Y87" s="41" t="s">
        <v>202</v>
      </c>
      <c r="Z87" s="16"/>
      <c r="AA87" s="16"/>
      <c r="AB87" s="42">
        <f t="shared" si="2"/>
        <v>216.35999999999967</v>
      </c>
    </row>
    <row r="88" spans="1:28" ht="16.5" thickBot="1">
      <c r="A88" s="1" t="s">
        <v>72</v>
      </c>
      <c r="B88" s="36" t="s">
        <v>158</v>
      </c>
      <c r="C88" s="79">
        <v>4.95</v>
      </c>
      <c r="D88" s="16"/>
      <c r="E88" s="79">
        <v>4.1500000000000004</v>
      </c>
      <c r="F88" s="16">
        <v>-1400</v>
      </c>
      <c r="G88" s="79">
        <v>4.46</v>
      </c>
      <c r="H88" s="16"/>
      <c r="I88" s="79">
        <v>5.01</v>
      </c>
      <c r="J88" s="16"/>
      <c r="K88" s="79">
        <v>384.79</v>
      </c>
      <c r="L88" s="16"/>
      <c r="M88" s="79">
        <v>388.99</v>
      </c>
      <c r="N88" s="16">
        <v>-400</v>
      </c>
      <c r="O88" s="79">
        <v>565.02</v>
      </c>
      <c r="P88" s="16">
        <v>-400</v>
      </c>
      <c r="Q88" s="79">
        <v>448.36</v>
      </c>
      <c r="R88" s="16">
        <f>-1000-430-489</f>
        <v>-1919</v>
      </c>
      <c r="S88" s="79">
        <v>1173.07</v>
      </c>
      <c r="T88" s="16"/>
      <c r="U88" s="79">
        <v>1542.62</v>
      </c>
      <c r="V88" s="16"/>
      <c r="W88" s="79">
        <v>5.17</v>
      </c>
      <c r="X88" s="16">
        <f>-1173.07-1542.62</f>
        <v>-2715.6899999999996</v>
      </c>
      <c r="Y88" s="79">
        <v>4.88</v>
      </c>
      <c r="Z88" s="16"/>
      <c r="AA88" s="16"/>
      <c r="AB88" s="42">
        <f t="shared" si="2"/>
        <v>-2303.2199999999998</v>
      </c>
    </row>
    <row r="89" spans="1:28" ht="16.5" thickBot="1">
      <c r="A89" s="1" t="s">
        <v>73</v>
      </c>
      <c r="B89" s="36" t="s">
        <v>159</v>
      </c>
      <c r="C89" s="79">
        <v>3.87</v>
      </c>
      <c r="D89" s="16"/>
      <c r="E89" s="79">
        <v>2.64</v>
      </c>
      <c r="F89" s="16"/>
      <c r="G89" s="79">
        <v>3.32</v>
      </c>
      <c r="H89" s="16"/>
      <c r="I89" s="79">
        <v>3.12</v>
      </c>
      <c r="J89" s="16"/>
      <c r="K89" s="79">
        <v>4.59</v>
      </c>
      <c r="L89" s="16"/>
      <c r="M89" s="79">
        <v>4.7</v>
      </c>
      <c r="N89" s="16"/>
      <c r="O89" s="79">
        <v>35.82</v>
      </c>
      <c r="P89" s="16"/>
      <c r="Q89" s="79">
        <v>200.76</v>
      </c>
      <c r="R89" s="16">
        <v>-3217.91</v>
      </c>
      <c r="S89" s="79">
        <v>230.21</v>
      </c>
      <c r="T89" s="16"/>
      <c r="U89" s="79">
        <v>169.61</v>
      </c>
      <c r="V89" s="16"/>
      <c r="W89" s="79">
        <v>63.96</v>
      </c>
      <c r="X89" s="16"/>
      <c r="Y89" s="79">
        <v>3.23</v>
      </c>
      <c r="Z89" s="16"/>
      <c r="AA89" s="16"/>
      <c r="AB89" s="42">
        <f t="shared" si="2"/>
        <v>-2492.0799999999995</v>
      </c>
    </row>
    <row r="90" spans="1:28" ht="16.5" thickBot="1">
      <c r="A90" s="1" t="s">
        <v>74</v>
      </c>
      <c r="B90" s="36" t="s">
        <v>160</v>
      </c>
      <c r="C90" s="41" t="s">
        <v>202</v>
      </c>
      <c r="D90" s="16"/>
      <c r="E90" s="41" t="s">
        <v>202</v>
      </c>
      <c r="F90" s="16"/>
      <c r="G90" s="41" t="s">
        <v>202</v>
      </c>
      <c r="H90" s="16"/>
      <c r="I90" s="41" t="s">
        <v>202</v>
      </c>
      <c r="J90" s="16"/>
      <c r="K90" s="41" t="s">
        <v>202</v>
      </c>
      <c r="L90" s="16"/>
      <c r="M90" s="41" t="s">
        <v>202</v>
      </c>
      <c r="N90" s="16"/>
      <c r="O90" s="41" t="s">
        <v>202</v>
      </c>
      <c r="P90" s="16"/>
      <c r="Q90" s="41" t="s">
        <v>202</v>
      </c>
      <c r="R90" s="16"/>
      <c r="S90" s="41" t="s">
        <v>202</v>
      </c>
      <c r="T90" s="16"/>
      <c r="U90" s="41" t="s">
        <v>202</v>
      </c>
      <c r="V90" s="16"/>
      <c r="W90" s="41" t="s">
        <v>202</v>
      </c>
      <c r="X90" s="16"/>
      <c r="Y90" s="41" t="s">
        <v>202</v>
      </c>
      <c r="Z90" s="16"/>
      <c r="AA90" s="16"/>
      <c r="AB90" s="42">
        <f t="shared" si="2"/>
        <v>0</v>
      </c>
    </row>
    <row r="91" spans="1:28" ht="16.5" thickBot="1">
      <c r="A91" s="1" t="s">
        <v>182</v>
      </c>
      <c r="B91" s="36" t="s">
        <v>161</v>
      </c>
      <c r="C91" s="41" t="s">
        <v>202</v>
      </c>
      <c r="D91" s="16"/>
      <c r="E91" s="41" t="s">
        <v>202</v>
      </c>
      <c r="F91" s="16"/>
      <c r="G91" s="41" t="s">
        <v>202</v>
      </c>
      <c r="H91" s="16"/>
      <c r="I91" s="79">
        <v>14.06</v>
      </c>
      <c r="J91" s="16"/>
      <c r="K91" s="79">
        <v>902.17</v>
      </c>
      <c r="L91" s="16">
        <v>-1000</v>
      </c>
      <c r="M91" s="79">
        <v>191.93</v>
      </c>
      <c r="N91" s="16"/>
      <c r="O91" s="79">
        <v>1301.76</v>
      </c>
      <c r="P91" s="16"/>
      <c r="Q91" s="79">
        <v>1512.87</v>
      </c>
      <c r="R91" s="16"/>
      <c r="S91" s="79">
        <v>2214.69</v>
      </c>
      <c r="T91" s="16"/>
      <c r="U91" s="79">
        <v>3133.88</v>
      </c>
      <c r="V91" s="16">
        <v>-5230</v>
      </c>
      <c r="W91" s="41" t="s">
        <v>202</v>
      </c>
      <c r="X91" s="16"/>
      <c r="Y91" s="41" t="s">
        <v>202</v>
      </c>
      <c r="Z91" s="16"/>
      <c r="AA91" s="16"/>
      <c r="AB91" s="42">
        <f t="shared" si="2"/>
        <v>3041.3600000000006</v>
      </c>
    </row>
    <row r="92" spans="1:28" ht="16.5" thickBot="1">
      <c r="A92" s="1" t="s">
        <v>75</v>
      </c>
      <c r="B92" s="36" t="s">
        <v>162</v>
      </c>
      <c r="C92" s="41" t="s">
        <v>202</v>
      </c>
      <c r="D92" s="16"/>
      <c r="E92" s="41" t="s">
        <v>202</v>
      </c>
      <c r="F92" s="16"/>
      <c r="G92" s="79">
        <v>7.27</v>
      </c>
      <c r="H92" s="16"/>
      <c r="I92" s="79">
        <v>155.33000000000001</v>
      </c>
      <c r="J92" s="16"/>
      <c r="K92" s="79">
        <v>338.97</v>
      </c>
      <c r="L92" s="16"/>
      <c r="M92" s="79">
        <v>362.1</v>
      </c>
      <c r="N92" s="16"/>
      <c r="O92" s="79">
        <v>368.03</v>
      </c>
      <c r="P92" s="16"/>
      <c r="Q92" s="79">
        <v>299.61</v>
      </c>
      <c r="R92" s="16">
        <v>-1072.69</v>
      </c>
      <c r="S92" s="79">
        <v>136.41</v>
      </c>
      <c r="T92" s="16"/>
      <c r="U92" s="79">
        <v>59.3</v>
      </c>
      <c r="V92" s="16"/>
      <c r="W92" s="41" t="s">
        <v>202</v>
      </c>
      <c r="X92" s="16">
        <v>-495.32</v>
      </c>
      <c r="Y92" s="79">
        <v>12.17</v>
      </c>
      <c r="Z92" s="16"/>
      <c r="AA92" s="16"/>
      <c r="AB92" s="42">
        <f t="shared" si="2"/>
        <v>171.17999999999981</v>
      </c>
    </row>
    <row r="93" spans="1:28" ht="16.5" thickBot="1">
      <c r="A93" s="1" t="s">
        <v>76</v>
      </c>
      <c r="B93" s="36" t="s">
        <v>203</v>
      </c>
      <c r="C93" s="79">
        <v>134.04</v>
      </c>
      <c r="D93" s="16">
        <v>-302.99</v>
      </c>
      <c r="E93" s="79">
        <v>27.9</v>
      </c>
      <c r="F93" s="16">
        <v>-134.04</v>
      </c>
      <c r="G93" s="79">
        <v>21.66</v>
      </c>
      <c r="H93" s="16">
        <v>-25.35</v>
      </c>
      <c r="I93" s="79">
        <v>157.56</v>
      </c>
      <c r="J93" s="16"/>
      <c r="K93" s="79">
        <v>2909.98</v>
      </c>
      <c r="L93" s="16"/>
      <c r="M93" s="79">
        <v>373.15</v>
      </c>
      <c r="N93" s="16">
        <f>-157.56-2909.98</f>
        <v>-3067.54</v>
      </c>
      <c r="O93" s="79">
        <v>1115.95</v>
      </c>
      <c r="P93" s="16">
        <v>-350</v>
      </c>
      <c r="Q93" s="79">
        <v>1122.6500000000001</v>
      </c>
      <c r="R93" s="16">
        <v>-1115.95</v>
      </c>
      <c r="S93" s="79">
        <v>2813.8</v>
      </c>
      <c r="T93" s="16">
        <v>-1171</v>
      </c>
      <c r="U93" s="79">
        <v>6755.39</v>
      </c>
      <c r="V93" s="16">
        <v>-2814</v>
      </c>
      <c r="W93" s="79">
        <v>620.16999999999996</v>
      </c>
      <c r="X93" s="16">
        <v>-6756</v>
      </c>
      <c r="Y93" s="79">
        <v>136.94</v>
      </c>
      <c r="Z93" s="16">
        <f>-620.17-136.94</f>
        <v>-757.1099999999999</v>
      </c>
      <c r="AA93" s="16"/>
      <c r="AB93" s="42">
        <f t="shared" si="2"/>
        <v>-304.78999999999888</v>
      </c>
    </row>
    <row r="94" spans="1:28" ht="16.5" thickBot="1">
      <c r="A94" s="1" t="s">
        <v>77</v>
      </c>
      <c r="B94" s="36" t="s">
        <v>163</v>
      </c>
      <c r="C94" s="41" t="s">
        <v>202</v>
      </c>
      <c r="D94" s="16"/>
      <c r="E94" s="41" t="s">
        <v>202</v>
      </c>
      <c r="F94" s="16"/>
      <c r="G94" s="41" t="s">
        <v>202</v>
      </c>
      <c r="H94" s="16"/>
      <c r="I94" s="41" t="s">
        <v>202</v>
      </c>
      <c r="J94" s="16"/>
      <c r="K94" s="79">
        <v>20.38</v>
      </c>
      <c r="L94" s="16"/>
      <c r="M94" s="79">
        <v>16.559999999999999</v>
      </c>
      <c r="N94" s="16"/>
      <c r="O94" s="79">
        <v>13.17</v>
      </c>
      <c r="P94" s="16"/>
      <c r="Q94" s="41" t="s">
        <v>202</v>
      </c>
      <c r="R94" s="16"/>
      <c r="S94" s="79">
        <v>3.07</v>
      </c>
      <c r="T94" s="16"/>
      <c r="U94" s="79">
        <v>4.3099999999999996</v>
      </c>
      <c r="V94" s="16"/>
      <c r="W94" s="41" t="s">
        <v>202</v>
      </c>
      <c r="X94" s="16"/>
      <c r="Y94" s="41" t="s">
        <v>202</v>
      </c>
      <c r="Z94" s="16"/>
      <c r="AA94" s="16"/>
      <c r="AB94" s="42">
        <f t="shared" si="2"/>
        <v>57.49</v>
      </c>
    </row>
    <row r="95" spans="1:28" ht="16.5" thickBot="1">
      <c r="A95" s="1" t="s">
        <v>78</v>
      </c>
      <c r="B95" s="36" t="s">
        <v>164</v>
      </c>
      <c r="C95" s="41" t="s">
        <v>202</v>
      </c>
      <c r="D95" s="16"/>
      <c r="E95" s="41" t="s">
        <v>202</v>
      </c>
      <c r="F95" s="16"/>
      <c r="G95" s="41" t="s">
        <v>202</v>
      </c>
      <c r="H95" s="16"/>
      <c r="I95" s="41" t="s">
        <v>202</v>
      </c>
      <c r="J95" s="16"/>
      <c r="K95" s="79">
        <v>58.75</v>
      </c>
      <c r="L95" s="16"/>
      <c r="M95" s="79">
        <v>132.04</v>
      </c>
      <c r="N95" s="16"/>
      <c r="O95" s="79">
        <v>132.52000000000001</v>
      </c>
      <c r="P95" s="16"/>
      <c r="Q95" s="79">
        <v>126.15</v>
      </c>
      <c r="R95" s="16"/>
      <c r="S95" s="79">
        <v>18.649999999999999</v>
      </c>
      <c r="T95" s="16">
        <v>-1900</v>
      </c>
      <c r="U95" s="79">
        <v>160.87</v>
      </c>
      <c r="V95" s="16"/>
      <c r="W95" s="41" t="s">
        <v>202</v>
      </c>
      <c r="X95" s="16"/>
      <c r="Y95" s="41" t="s">
        <v>202</v>
      </c>
      <c r="Z95" s="16"/>
      <c r="AA95" s="16"/>
      <c r="AB95" s="42">
        <f t="shared" si="2"/>
        <v>-1271.02</v>
      </c>
    </row>
    <row r="96" spans="1:28" ht="16.5" thickBot="1">
      <c r="A96" s="1" t="s">
        <v>79</v>
      </c>
      <c r="B96" s="36" t="s">
        <v>99</v>
      </c>
      <c r="C96" s="79">
        <v>135.79</v>
      </c>
      <c r="D96" s="16"/>
      <c r="E96" s="79">
        <v>114.61</v>
      </c>
      <c r="F96" s="16"/>
      <c r="G96" s="79">
        <v>121.59</v>
      </c>
      <c r="H96" s="16"/>
      <c r="I96" s="79">
        <v>134.79</v>
      </c>
      <c r="J96" s="16"/>
      <c r="K96" s="79">
        <v>87.39</v>
      </c>
      <c r="L96" s="16"/>
      <c r="M96" s="41" t="s">
        <v>202</v>
      </c>
      <c r="N96" s="16"/>
      <c r="O96" s="79">
        <v>19.54</v>
      </c>
      <c r="P96" s="16">
        <v>-11000</v>
      </c>
      <c r="Q96" s="79">
        <v>435.68</v>
      </c>
      <c r="R96" s="16"/>
      <c r="S96" s="79">
        <v>207.32</v>
      </c>
      <c r="T96" s="16"/>
      <c r="U96" s="79">
        <v>5.32</v>
      </c>
      <c r="V96" s="16">
        <v>-750</v>
      </c>
      <c r="W96" s="79">
        <v>8.83</v>
      </c>
      <c r="X96" s="16"/>
      <c r="Y96" s="79">
        <v>4.16</v>
      </c>
      <c r="Z96" s="16"/>
      <c r="AA96" s="16"/>
      <c r="AB96" s="42">
        <f t="shared" si="2"/>
        <v>-10474.980000000001</v>
      </c>
    </row>
    <row r="97" spans="1:28" ht="16.5" thickBot="1">
      <c r="A97" s="1" t="s">
        <v>80</v>
      </c>
      <c r="B97" s="36" t="s">
        <v>165</v>
      </c>
      <c r="C97" s="79">
        <v>33.9</v>
      </c>
      <c r="D97" s="16"/>
      <c r="E97" s="41" t="s">
        <v>202</v>
      </c>
      <c r="F97" s="16"/>
      <c r="G97" s="79">
        <v>26.63</v>
      </c>
      <c r="H97" s="16">
        <v>-85.32</v>
      </c>
      <c r="I97" s="79">
        <v>37.9</v>
      </c>
      <c r="J97" s="16"/>
      <c r="K97" s="79">
        <v>483.53</v>
      </c>
      <c r="L97" s="16"/>
      <c r="M97" s="79">
        <v>406.36</v>
      </c>
      <c r="N97" s="16"/>
      <c r="O97" s="79">
        <v>493.05</v>
      </c>
      <c r="P97" s="16">
        <f>-927.79-493.05</f>
        <v>-1420.84</v>
      </c>
      <c r="Q97" s="79">
        <v>230.45</v>
      </c>
      <c r="R97" s="16">
        <v>-230.45</v>
      </c>
      <c r="S97" s="79">
        <v>146.72999999999999</v>
      </c>
      <c r="T97" s="16">
        <v>-146.72999999999999</v>
      </c>
      <c r="U97" s="79">
        <v>221.27</v>
      </c>
      <c r="V97" s="16"/>
      <c r="W97" s="79">
        <v>130.96</v>
      </c>
      <c r="X97" s="16">
        <v>-221.27</v>
      </c>
      <c r="Y97" s="79">
        <v>1.87</v>
      </c>
      <c r="Z97" s="16"/>
      <c r="AA97" s="16"/>
      <c r="AB97" s="42">
        <f t="shared" si="2"/>
        <v>108.04000000000005</v>
      </c>
    </row>
    <row r="98" spans="1:28" ht="16.5" thickBot="1">
      <c r="A98" s="48" t="s">
        <v>81</v>
      </c>
      <c r="B98" s="47" t="s">
        <v>166</v>
      </c>
      <c r="C98" s="80">
        <v>27.01</v>
      </c>
      <c r="D98" s="46"/>
      <c r="E98" s="80">
        <v>21.3</v>
      </c>
      <c r="F98" s="46">
        <v>-3000</v>
      </c>
      <c r="G98" s="80">
        <v>28.22</v>
      </c>
      <c r="H98" s="46"/>
      <c r="I98" s="80">
        <v>268.76</v>
      </c>
      <c r="J98" s="46"/>
      <c r="K98" s="80">
        <v>638.15</v>
      </c>
      <c r="L98" s="46"/>
      <c r="M98" s="80">
        <v>489.21</v>
      </c>
      <c r="N98" s="46"/>
      <c r="O98" s="80">
        <v>497.62</v>
      </c>
      <c r="P98" s="46">
        <v>-2000</v>
      </c>
      <c r="Q98" s="80"/>
      <c r="R98" s="46"/>
      <c r="S98" s="80"/>
      <c r="T98" s="46"/>
      <c r="U98" s="80"/>
      <c r="V98" s="46"/>
      <c r="W98" s="80"/>
      <c r="X98" s="46"/>
      <c r="Y98" s="80"/>
      <c r="Z98" s="46"/>
      <c r="AA98" s="46"/>
      <c r="AB98" s="42">
        <f t="shared" si="2"/>
        <v>-3029.73</v>
      </c>
    </row>
    <row r="99" spans="1:28" ht="16.5" thickBot="1">
      <c r="A99" s="1" t="s">
        <v>82</v>
      </c>
      <c r="B99" s="36" t="s">
        <v>167</v>
      </c>
      <c r="C99" s="79">
        <v>3.44</v>
      </c>
      <c r="D99" s="16"/>
      <c r="E99" s="79">
        <v>2.84</v>
      </c>
      <c r="F99" s="16"/>
      <c r="G99" s="79">
        <v>3.01</v>
      </c>
      <c r="H99" s="16"/>
      <c r="I99" s="79">
        <v>37</v>
      </c>
      <c r="J99" s="16"/>
      <c r="K99" s="79">
        <v>757.52</v>
      </c>
      <c r="L99" s="16"/>
      <c r="M99" s="79">
        <v>896.98</v>
      </c>
      <c r="N99" s="16">
        <v>-1011</v>
      </c>
      <c r="O99" s="79">
        <v>1056.03</v>
      </c>
      <c r="P99" s="16"/>
      <c r="Q99" s="79">
        <v>991.73</v>
      </c>
      <c r="R99" s="16">
        <v>-1953.01</v>
      </c>
      <c r="S99" s="79">
        <v>832.61</v>
      </c>
      <c r="T99" s="16"/>
      <c r="U99" s="79">
        <v>106.18</v>
      </c>
      <c r="V99" s="16"/>
      <c r="W99" s="79">
        <v>3.44</v>
      </c>
      <c r="X99" s="16"/>
      <c r="Y99" s="79">
        <v>3.32</v>
      </c>
      <c r="Z99" s="16">
        <v>-1934.06</v>
      </c>
      <c r="AA99" s="16"/>
      <c r="AB99" s="42">
        <f t="shared" si="2"/>
        <v>-203.9699999999998</v>
      </c>
    </row>
    <row r="100" spans="1:28" ht="15.75">
      <c r="A100" s="1" t="s">
        <v>83</v>
      </c>
      <c r="B100" s="36" t="s">
        <v>168</v>
      </c>
      <c r="C100" s="41" t="s">
        <v>202</v>
      </c>
      <c r="D100" s="16"/>
      <c r="E100" s="41" t="s">
        <v>202</v>
      </c>
      <c r="F100" s="16"/>
      <c r="G100" s="41" t="s">
        <v>202</v>
      </c>
      <c r="H100" s="16"/>
      <c r="I100" s="41" t="s">
        <v>202</v>
      </c>
      <c r="J100" s="16"/>
      <c r="K100" s="41" t="s">
        <v>202</v>
      </c>
      <c r="L100" s="16"/>
      <c r="M100" s="41" t="s">
        <v>202</v>
      </c>
      <c r="N100" s="16"/>
      <c r="O100" s="41" t="s">
        <v>202</v>
      </c>
      <c r="P100" s="16"/>
      <c r="Q100" s="41" t="s">
        <v>202</v>
      </c>
      <c r="R100" s="16"/>
      <c r="S100" s="41" t="s">
        <v>202</v>
      </c>
      <c r="T100" s="16"/>
      <c r="U100" s="41" t="s">
        <v>202</v>
      </c>
      <c r="V100" s="16"/>
      <c r="W100" s="41" t="s">
        <v>202</v>
      </c>
      <c r="X100" s="16"/>
      <c r="Y100" s="41" t="s">
        <v>202</v>
      </c>
      <c r="Z100" s="16"/>
      <c r="AA100" s="16"/>
      <c r="AB100" s="42">
        <f t="shared" si="2"/>
        <v>0</v>
      </c>
    </row>
    <row r="101" spans="1:28">
      <c r="C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8">
      <c r="C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8">
      <c r="C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8">
      <c r="C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8">
      <c r="C105"/>
      <c r="E105"/>
      <c r="F105"/>
      <c r="G105"/>
      <c r="H105"/>
    </row>
    <row r="106" spans="1:28">
      <c r="C106"/>
      <c r="E106"/>
      <c r="F106"/>
      <c r="G106"/>
      <c r="H106"/>
    </row>
    <row r="107" spans="1:28">
      <c r="C107"/>
      <c r="E107"/>
      <c r="F107"/>
      <c r="G107"/>
      <c r="H107"/>
    </row>
    <row r="108" spans="1:28">
      <c r="C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8">
      <c r="C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8">
      <c r="C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9:AB110"/>
  <sheetViews>
    <sheetView workbookViewId="0">
      <pane xSplit="2" ySplit="10" topLeftCell="T38" activePane="bottomRight" state="frozen"/>
      <selection pane="topRight" activeCell="C1" sqref="C1"/>
      <selection pane="bottomLeft" activeCell="A11" sqref="A11"/>
      <selection pane="bottomRight" activeCell="B8" sqref="B8"/>
    </sheetView>
  </sheetViews>
  <sheetFormatPr defaultRowHeight="15"/>
  <cols>
    <col min="1" max="1" width="10.28515625" bestFit="1" customWidth="1"/>
    <col min="2" max="2" width="17.7109375" customWidth="1"/>
    <col min="3" max="3" width="17.28515625" style="2" bestFit="1" customWidth="1"/>
    <col min="4" max="4" width="19.85546875" style="2" customWidth="1"/>
    <col min="5" max="5" width="17.28515625" style="2" bestFit="1" customWidth="1"/>
    <col min="6" max="6" width="19.85546875" style="2" customWidth="1"/>
    <col min="7" max="7" width="17.28515625" style="2" bestFit="1" customWidth="1"/>
    <col min="8" max="8" width="19.85546875" style="2" customWidth="1"/>
    <col min="9" max="9" width="17.28515625" bestFit="1" customWidth="1"/>
    <col min="10" max="10" width="17.85546875" customWidth="1"/>
    <col min="11" max="11" width="17.28515625" bestFit="1" customWidth="1"/>
    <col min="12" max="18" width="17.28515625" customWidth="1"/>
    <col min="19" max="27" width="17.85546875" customWidth="1"/>
    <col min="28" max="28" width="15.7109375" customWidth="1"/>
  </cols>
  <sheetData>
    <row r="9" spans="1:28" ht="15.75" thickBot="1">
      <c r="C9"/>
      <c r="E9"/>
      <c r="F9"/>
      <c r="G9"/>
      <c r="H9"/>
    </row>
    <row r="10" spans="1:28" ht="26.25" customHeight="1" thickBot="1">
      <c r="A10" s="55" t="s">
        <v>0</v>
      </c>
      <c r="B10" s="54" t="s">
        <v>96</v>
      </c>
      <c r="C10" s="26">
        <v>41275</v>
      </c>
      <c r="D10" s="3"/>
      <c r="E10" s="26">
        <v>41306</v>
      </c>
      <c r="F10" s="77"/>
      <c r="G10" s="26">
        <v>41334</v>
      </c>
      <c r="H10" s="10"/>
      <c r="I10" s="26">
        <v>41365</v>
      </c>
      <c r="J10" s="10"/>
      <c r="K10" s="26">
        <v>41395</v>
      </c>
      <c r="L10" s="10"/>
      <c r="M10" s="26">
        <v>41426</v>
      </c>
      <c r="N10" s="10"/>
      <c r="O10" s="26">
        <v>41456</v>
      </c>
      <c r="P10" s="10"/>
      <c r="Q10" s="26">
        <v>41487</v>
      </c>
      <c r="R10" s="10"/>
      <c r="S10" s="26">
        <v>41518</v>
      </c>
      <c r="T10" s="10"/>
      <c r="U10" s="26">
        <v>41548</v>
      </c>
      <c r="V10" s="10"/>
      <c r="W10" s="26">
        <v>41579</v>
      </c>
      <c r="X10" s="10"/>
      <c r="Y10" s="26">
        <v>41609</v>
      </c>
      <c r="Z10" s="10"/>
      <c r="AA10" s="10"/>
      <c r="AB10" s="52" t="s">
        <v>84</v>
      </c>
    </row>
    <row r="11" spans="1:28" ht="16.5" thickBot="1">
      <c r="A11" s="1" t="s">
        <v>1</v>
      </c>
      <c r="B11" s="35" t="s">
        <v>97</v>
      </c>
      <c r="C11" s="83">
        <v>1739.52</v>
      </c>
      <c r="D11" s="51"/>
      <c r="E11" s="83">
        <v>623.79</v>
      </c>
      <c r="F11" s="15">
        <v>-1739.52</v>
      </c>
      <c r="G11" s="83">
        <v>2348.9299999999998</v>
      </c>
      <c r="H11" s="15">
        <v>-623.79</v>
      </c>
      <c r="I11" s="15">
        <v>723.82</v>
      </c>
      <c r="J11" s="15">
        <v>-2348.9299999999998</v>
      </c>
      <c r="K11" s="15">
        <v>1357.34</v>
      </c>
      <c r="L11" s="15">
        <f>-723.82-1357.34</f>
        <v>-2081.16</v>
      </c>
      <c r="M11" s="15">
        <v>848.17</v>
      </c>
      <c r="N11" s="51"/>
      <c r="O11" s="15">
        <v>1059.83</v>
      </c>
      <c r="P11" s="15">
        <v>-848.17</v>
      </c>
      <c r="Q11" s="15">
        <v>1730.75</v>
      </c>
      <c r="R11" s="15">
        <v>-1059.83</v>
      </c>
      <c r="S11" s="15">
        <v>2182.71</v>
      </c>
      <c r="T11" s="51"/>
      <c r="U11" s="15">
        <v>1869.75</v>
      </c>
      <c r="V11" s="15">
        <f>-1059.83-1730.75-1122.88</f>
        <v>-3913.46</v>
      </c>
      <c r="W11" s="15">
        <v>400.48</v>
      </c>
      <c r="X11" s="15">
        <v>-1587.69</v>
      </c>
      <c r="Y11" s="15">
        <v>1221.46</v>
      </c>
      <c r="Z11" s="15">
        <f>-400.48-1221.46</f>
        <v>-1621.94</v>
      </c>
      <c r="AA11" s="15"/>
      <c r="AB11" s="42">
        <f t="shared" ref="AB11:AB42" si="0">SUM(C11:AA11)</f>
        <v>282.05999999999995</v>
      </c>
    </row>
    <row r="12" spans="1:28" ht="16.5" thickBot="1">
      <c r="A12" s="1" t="s">
        <v>2</v>
      </c>
      <c r="B12" s="36" t="s">
        <v>98</v>
      </c>
      <c r="C12" s="79">
        <v>2.4300000000000002</v>
      </c>
      <c r="D12" s="4"/>
      <c r="E12" s="79">
        <v>18.48</v>
      </c>
      <c r="F12" s="4"/>
      <c r="G12" s="79">
        <v>3.7</v>
      </c>
      <c r="H12" s="4"/>
      <c r="I12" s="16">
        <v>9.4600000000000009</v>
      </c>
      <c r="J12" s="4"/>
      <c r="K12" s="16">
        <v>274.3</v>
      </c>
      <c r="L12" s="4"/>
      <c r="M12" s="16">
        <v>308.26</v>
      </c>
      <c r="N12" s="16">
        <v>-1100</v>
      </c>
      <c r="O12" s="16">
        <v>305.5</v>
      </c>
      <c r="P12" s="4"/>
      <c r="Q12" s="16">
        <v>381.19</v>
      </c>
      <c r="R12" s="4"/>
      <c r="S12" s="16">
        <v>758.35</v>
      </c>
      <c r="T12" s="4"/>
      <c r="U12" s="16">
        <v>745.73</v>
      </c>
      <c r="V12" s="4"/>
      <c r="W12" s="16">
        <v>259.57</v>
      </c>
      <c r="X12" s="16">
        <v>-2500</v>
      </c>
      <c r="Y12" s="16">
        <v>15.58</v>
      </c>
      <c r="Z12" s="4"/>
      <c r="AA12" s="4"/>
      <c r="AB12" s="42">
        <f t="shared" si="0"/>
        <v>-517.44999999999993</v>
      </c>
    </row>
    <row r="13" spans="1:28" ht="16.5" thickBot="1">
      <c r="A13" s="1" t="s">
        <v>3</v>
      </c>
      <c r="B13" s="36" t="s">
        <v>99</v>
      </c>
      <c r="C13" s="79">
        <v>2.17</v>
      </c>
      <c r="D13" s="4"/>
      <c r="E13" s="79">
        <v>0.74</v>
      </c>
      <c r="F13" s="4"/>
      <c r="G13" s="79">
        <v>3.34</v>
      </c>
      <c r="H13" s="4"/>
      <c r="I13" s="16">
        <v>2.17</v>
      </c>
      <c r="J13" s="4"/>
      <c r="K13" s="16">
        <v>13.43</v>
      </c>
      <c r="L13" s="4"/>
      <c r="M13" s="16">
        <v>15.98</v>
      </c>
      <c r="N13" s="4"/>
      <c r="O13" s="16">
        <v>43.38</v>
      </c>
      <c r="P13" s="4"/>
      <c r="Q13" s="16">
        <v>74.87</v>
      </c>
      <c r="R13" s="4"/>
      <c r="S13" s="16">
        <v>35.75</v>
      </c>
      <c r="T13" s="4"/>
      <c r="U13" s="16">
        <v>12.26</v>
      </c>
      <c r="V13" s="4"/>
      <c r="W13" s="16">
        <v>2.23</v>
      </c>
      <c r="X13" s="4"/>
      <c r="Y13" s="16">
        <v>2.61</v>
      </c>
      <c r="Z13" s="4"/>
      <c r="AA13" s="4"/>
      <c r="AB13" s="42">
        <f t="shared" si="0"/>
        <v>208.93</v>
      </c>
    </row>
    <row r="14" spans="1:28" ht="16.5" thickBot="1">
      <c r="A14" s="48" t="s">
        <v>4</v>
      </c>
      <c r="B14" s="47" t="s">
        <v>100</v>
      </c>
      <c r="C14" s="80">
        <v>129.75</v>
      </c>
      <c r="D14" s="45"/>
      <c r="E14" s="80">
        <v>24.65</v>
      </c>
      <c r="F14" s="45"/>
      <c r="G14" s="80">
        <v>101.56</v>
      </c>
      <c r="H14" s="46">
        <v>-1500</v>
      </c>
      <c r="I14" s="46">
        <v>115.34</v>
      </c>
      <c r="J14" s="45"/>
      <c r="K14" s="46">
        <v>544.4</v>
      </c>
      <c r="L14" s="45"/>
      <c r="M14" s="46">
        <v>392.9</v>
      </c>
      <c r="N14" s="45"/>
      <c r="O14" s="46">
        <v>1090.8699999999999</v>
      </c>
      <c r="P14" s="45"/>
      <c r="Q14" s="46">
        <v>1292.78</v>
      </c>
      <c r="R14" s="46">
        <v>-1423.4</v>
      </c>
      <c r="S14" s="46">
        <v>371.35</v>
      </c>
      <c r="T14" s="45"/>
      <c r="U14" s="46">
        <v>428.84</v>
      </c>
      <c r="V14" s="45"/>
      <c r="W14" s="46">
        <v>973.21</v>
      </c>
      <c r="X14" s="45"/>
      <c r="Y14" s="46">
        <v>549.35</v>
      </c>
      <c r="Z14" s="45"/>
      <c r="AA14" s="45"/>
      <c r="AB14" s="42">
        <f t="shared" si="0"/>
        <v>3091.6</v>
      </c>
    </row>
    <row r="15" spans="1:28" ht="16.5" thickBot="1">
      <c r="A15" s="48" t="s">
        <v>5</v>
      </c>
      <c r="B15" s="47" t="s">
        <v>207</v>
      </c>
      <c r="C15" s="80">
        <v>45.79</v>
      </c>
      <c r="D15" s="45"/>
      <c r="E15" s="57" t="s">
        <v>202</v>
      </c>
      <c r="F15" s="45"/>
      <c r="G15" s="57" t="s">
        <v>202</v>
      </c>
      <c r="H15" s="45"/>
      <c r="I15" s="46">
        <v>33.75</v>
      </c>
      <c r="J15" s="45"/>
      <c r="K15" s="46">
        <v>163.21</v>
      </c>
      <c r="L15" s="45"/>
      <c r="M15" s="46">
        <v>177.75</v>
      </c>
      <c r="N15" s="46">
        <v>-815.95</v>
      </c>
      <c r="O15" s="46">
        <v>208.78</v>
      </c>
      <c r="P15" s="45"/>
      <c r="Q15" s="46">
        <v>261.37</v>
      </c>
      <c r="R15" s="45"/>
      <c r="S15" s="46">
        <v>312.89</v>
      </c>
      <c r="T15" s="45"/>
      <c r="U15" s="46">
        <v>310.36</v>
      </c>
      <c r="V15" s="45"/>
      <c r="W15" s="46">
        <v>323.88</v>
      </c>
      <c r="X15" s="45"/>
      <c r="Y15" s="46">
        <v>156.33000000000001</v>
      </c>
      <c r="Z15" s="45"/>
      <c r="AA15" s="45"/>
      <c r="AB15" s="42">
        <f t="shared" si="0"/>
        <v>1178.1599999999999</v>
      </c>
    </row>
    <row r="16" spans="1:28" ht="16.5" thickBot="1">
      <c r="A16" s="1" t="s">
        <v>6</v>
      </c>
      <c r="B16" s="36" t="s">
        <v>101</v>
      </c>
      <c r="C16" s="79">
        <v>66.67</v>
      </c>
      <c r="D16" s="4"/>
      <c r="E16" s="41" t="s">
        <v>202</v>
      </c>
      <c r="F16" s="4"/>
      <c r="G16" s="41" t="s">
        <v>202</v>
      </c>
      <c r="H16" s="4"/>
      <c r="I16" s="16">
        <v>1.07</v>
      </c>
      <c r="J16" s="4"/>
      <c r="K16" s="16">
        <v>522.36</v>
      </c>
      <c r="L16" s="4"/>
      <c r="M16" s="16">
        <v>625.97</v>
      </c>
      <c r="N16" s="16">
        <v>-522.36</v>
      </c>
      <c r="O16" s="16">
        <v>396.11</v>
      </c>
      <c r="P16" s="4"/>
      <c r="Q16" s="16">
        <v>455.28</v>
      </c>
      <c r="R16" s="4"/>
      <c r="S16" s="16">
        <v>156.66999999999999</v>
      </c>
      <c r="T16" s="4"/>
      <c r="U16" s="16">
        <v>125.24</v>
      </c>
      <c r="V16" s="4"/>
      <c r="W16" s="16">
        <v>0.41</v>
      </c>
      <c r="X16" s="4"/>
      <c r="Y16" s="16" t="s">
        <v>202</v>
      </c>
      <c r="Z16" s="4"/>
      <c r="AA16" s="4"/>
      <c r="AB16" s="42">
        <f t="shared" si="0"/>
        <v>1827.4200000000003</v>
      </c>
    </row>
    <row r="17" spans="1:28" ht="16.5" thickBot="1">
      <c r="A17" s="1" t="s">
        <v>7</v>
      </c>
      <c r="B17" s="36" t="s">
        <v>102</v>
      </c>
      <c r="C17" s="79">
        <v>13.5</v>
      </c>
      <c r="D17" s="4"/>
      <c r="E17" s="79">
        <v>4.8</v>
      </c>
      <c r="F17" s="4"/>
      <c r="G17" s="79">
        <v>20.09</v>
      </c>
      <c r="H17" s="4"/>
      <c r="I17" s="16">
        <v>12.74</v>
      </c>
      <c r="J17" s="4"/>
      <c r="K17" s="16">
        <v>740.39</v>
      </c>
      <c r="L17" s="4"/>
      <c r="M17" s="16">
        <v>1107.72</v>
      </c>
      <c r="N17" s="4"/>
      <c r="O17" s="16">
        <v>1396.42</v>
      </c>
      <c r="P17" s="4"/>
      <c r="Q17" s="16">
        <v>1159.32</v>
      </c>
      <c r="R17" s="4"/>
      <c r="S17" s="16">
        <v>1341.42</v>
      </c>
      <c r="T17" s="4"/>
      <c r="U17" s="16">
        <v>1709.31</v>
      </c>
      <c r="V17" s="4"/>
      <c r="W17" s="16">
        <v>746.83</v>
      </c>
      <c r="X17" s="4"/>
      <c r="Y17" s="16">
        <v>1.77</v>
      </c>
      <c r="Z17" s="4"/>
      <c r="AA17" s="4"/>
      <c r="AB17" s="42">
        <f t="shared" si="0"/>
        <v>8254.31</v>
      </c>
    </row>
    <row r="18" spans="1:28" ht="16.5" thickBot="1">
      <c r="A18" s="1" t="s">
        <v>8</v>
      </c>
      <c r="B18" s="36" t="s">
        <v>103</v>
      </c>
      <c r="C18" s="79">
        <v>3.08</v>
      </c>
      <c r="D18" s="4"/>
      <c r="E18" s="79">
        <v>1.06</v>
      </c>
      <c r="F18" s="4"/>
      <c r="G18" s="79">
        <v>4.7699999999999996</v>
      </c>
      <c r="H18" s="4"/>
      <c r="I18" s="16">
        <v>3.12</v>
      </c>
      <c r="J18" s="4"/>
      <c r="K18" s="16">
        <v>3.01</v>
      </c>
      <c r="L18" s="4"/>
      <c r="M18" s="16">
        <v>80.72</v>
      </c>
      <c r="N18" s="4"/>
      <c r="O18" s="16">
        <v>119.91</v>
      </c>
      <c r="P18" s="4"/>
      <c r="Q18" s="16">
        <v>126.77</v>
      </c>
      <c r="R18" s="4"/>
      <c r="S18" s="16">
        <v>84.57</v>
      </c>
      <c r="T18" s="4"/>
      <c r="U18" s="16">
        <v>118.48</v>
      </c>
      <c r="V18" s="4"/>
      <c r="W18" s="16">
        <v>3.36</v>
      </c>
      <c r="X18" s="4"/>
      <c r="Y18" s="16">
        <v>3.64</v>
      </c>
      <c r="Z18" s="4"/>
      <c r="AA18" s="4"/>
      <c r="AB18" s="42">
        <f t="shared" si="0"/>
        <v>552.49</v>
      </c>
    </row>
    <row r="19" spans="1:28" ht="16.5" thickBot="1">
      <c r="A19" s="1" t="s">
        <v>9</v>
      </c>
      <c r="B19" s="36" t="s">
        <v>104</v>
      </c>
      <c r="C19" s="41" t="s">
        <v>202</v>
      </c>
      <c r="D19" s="4"/>
      <c r="E19" s="41" t="s">
        <v>202</v>
      </c>
      <c r="F19" s="4"/>
      <c r="G19" s="41" t="s">
        <v>202</v>
      </c>
      <c r="H19" s="4"/>
      <c r="I19" s="16" t="s">
        <v>202</v>
      </c>
      <c r="J19" s="4"/>
      <c r="K19" s="16">
        <v>89.47</v>
      </c>
      <c r="L19" s="4"/>
      <c r="M19" s="16">
        <v>94.27</v>
      </c>
      <c r="N19" s="4"/>
      <c r="O19" s="16">
        <v>291.95999999999998</v>
      </c>
      <c r="P19" s="16">
        <v>-94.27</v>
      </c>
      <c r="Q19" s="16">
        <v>337.5</v>
      </c>
      <c r="R19" s="16">
        <v>-291.95999999999998</v>
      </c>
      <c r="S19" s="16">
        <v>109.91</v>
      </c>
      <c r="T19" s="4"/>
      <c r="U19" s="16">
        <v>54.98</v>
      </c>
      <c r="V19" s="16">
        <f>-337.5-109.91</f>
        <v>-447.40999999999997</v>
      </c>
      <c r="W19" s="16">
        <v>30.92</v>
      </c>
      <c r="X19" s="4"/>
      <c r="Y19" s="16">
        <v>2.83</v>
      </c>
      <c r="Z19" s="4"/>
      <c r="AA19" s="4"/>
      <c r="AB19" s="42">
        <f t="shared" si="0"/>
        <v>178.20000000000019</v>
      </c>
    </row>
    <row r="20" spans="1:28" ht="16.5" thickBot="1">
      <c r="A20" s="48" t="s">
        <v>10</v>
      </c>
      <c r="B20" s="47" t="s">
        <v>105</v>
      </c>
      <c r="C20" s="80">
        <v>2.86</v>
      </c>
      <c r="D20" s="45"/>
      <c r="E20" s="80">
        <v>0.96</v>
      </c>
      <c r="F20" s="45"/>
      <c r="G20" s="80">
        <v>4.41</v>
      </c>
      <c r="H20" s="45"/>
      <c r="I20" s="46">
        <v>2.79</v>
      </c>
      <c r="J20" s="45"/>
      <c r="K20" s="46">
        <v>134.88</v>
      </c>
      <c r="L20" s="45"/>
      <c r="M20" s="46">
        <v>170.16</v>
      </c>
      <c r="N20" s="46">
        <v>-31.5</v>
      </c>
      <c r="O20" s="46">
        <v>202.02</v>
      </c>
      <c r="P20" s="46">
        <v>-170.16</v>
      </c>
      <c r="Q20" s="46">
        <v>177.95</v>
      </c>
      <c r="R20" s="45"/>
      <c r="S20" s="46">
        <v>214.78</v>
      </c>
      <c r="T20" s="46">
        <v>-379.97</v>
      </c>
      <c r="U20" s="46">
        <v>201.95</v>
      </c>
      <c r="V20" s="46">
        <v>-214.78</v>
      </c>
      <c r="W20" s="46">
        <v>3.17</v>
      </c>
      <c r="X20" s="46">
        <v>-201.95</v>
      </c>
      <c r="Y20" s="46">
        <v>3.32</v>
      </c>
      <c r="Z20" s="45"/>
      <c r="AA20" s="45"/>
      <c r="AB20" s="42">
        <f t="shared" si="0"/>
        <v>120.89000000000016</v>
      </c>
    </row>
    <row r="21" spans="1:28" ht="16.5" thickBot="1">
      <c r="A21" s="48" t="s">
        <v>11</v>
      </c>
      <c r="B21" s="47" t="s">
        <v>106</v>
      </c>
      <c r="C21" s="80">
        <v>0.32</v>
      </c>
      <c r="D21" s="45"/>
      <c r="E21" s="80">
        <v>0.1</v>
      </c>
      <c r="F21" s="45"/>
      <c r="G21" s="80">
        <v>1.1100000000000001</v>
      </c>
      <c r="H21" s="45"/>
      <c r="I21" s="46">
        <v>0.6</v>
      </c>
      <c r="J21" s="45"/>
      <c r="K21" s="46">
        <v>229.57</v>
      </c>
      <c r="L21" s="45"/>
      <c r="M21" s="46">
        <v>162.22999999999999</v>
      </c>
      <c r="N21" s="46">
        <v>-450.8</v>
      </c>
      <c r="O21" s="46">
        <v>432.09</v>
      </c>
      <c r="P21" s="46">
        <v>-162.22999999999999</v>
      </c>
      <c r="Q21" s="46">
        <v>550.55999999999995</v>
      </c>
      <c r="R21" s="46">
        <v>-432.09</v>
      </c>
      <c r="S21" s="46">
        <v>260.45999999999998</v>
      </c>
      <c r="T21" s="46">
        <v>-550.55999999999995</v>
      </c>
      <c r="U21" s="46">
        <v>651.29</v>
      </c>
      <c r="V21" s="46">
        <v>-811.11</v>
      </c>
      <c r="W21" s="46">
        <v>1.24</v>
      </c>
      <c r="X21" s="45"/>
      <c r="Y21" s="46">
        <v>1.26</v>
      </c>
      <c r="Z21" s="45"/>
      <c r="AA21" s="45"/>
      <c r="AB21" s="42">
        <f t="shared" si="0"/>
        <v>-115.96000000000015</v>
      </c>
    </row>
    <row r="22" spans="1:28" ht="16.5" thickBot="1">
      <c r="A22" s="1" t="s">
        <v>12</v>
      </c>
      <c r="B22" s="36" t="s">
        <v>107</v>
      </c>
      <c r="C22" s="79">
        <v>223.9</v>
      </c>
      <c r="D22" s="4"/>
      <c r="E22" s="79">
        <v>111.25</v>
      </c>
      <c r="F22" s="4"/>
      <c r="G22" s="79">
        <v>143.74</v>
      </c>
      <c r="H22" s="16">
        <v>-335.15</v>
      </c>
      <c r="I22" s="16">
        <v>175.5</v>
      </c>
      <c r="J22" s="4"/>
      <c r="K22" s="16">
        <v>215.06</v>
      </c>
      <c r="L22" s="16">
        <v>-319.24</v>
      </c>
      <c r="M22" s="16">
        <v>149.28</v>
      </c>
      <c r="N22" s="4"/>
      <c r="O22" s="16">
        <v>203.33</v>
      </c>
      <c r="P22" s="16">
        <f>-100.86-384.34</f>
        <v>-485.2</v>
      </c>
      <c r="Q22" s="16">
        <v>292.45999999999998</v>
      </c>
      <c r="R22" s="4"/>
      <c r="S22" s="16">
        <v>539.04999999999995</v>
      </c>
      <c r="T22" s="16">
        <v>-495.79</v>
      </c>
      <c r="U22" s="16">
        <v>1875.7</v>
      </c>
      <c r="V22" s="16">
        <v>-2414.75</v>
      </c>
      <c r="W22" s="16">
        <v>1420.65</v>
      </c>
      <c r="X22" s="4"/>
      <c r="Y22" s="16">
        <v>264.48</v>
      </c>
      <c r="Z22" s="4"/>
      <c r="AA22" s="4"/>
      <c r="AB22" s="42">
        <f t="shared" si="0"/>
        <v>1564.27</v>
      </c>
    </row>
    <row r="23" spans="1:28" ht="16.5" thickBot="1">
      <c r="A23" s="1" t="s">
        <v>13</v>
      </c>
      <c r="B23" s="36" t="s">
        <v>108</v>
      </c>
      <c r="C23" s="79">
        <v>12.52</v>
      </c>
      <c r="D23" s="4"/>
      <c r="E23" s="79">
        <v>4.4000000000000004</v>
      </c>
      <c r="F23" s="4"/>
      <c r="G23" s="79">
        <v>19.41</v>
      </c>
      <c r="H23" s="4"/>
      <c r="I23" s="16">
        <v>12.62</v>
      </c>
      <c r="J23" s="4"/>
      <c r="K23" s="16">
        <v>278.19</v>
      </c>
      <c r="L23" s="4"/>
      <c r="M23" s="16">
        <v>541.19000000000005</v>
      </c>
      <c r="N23" s="4"/>
      <c r="O23" s="16">
        <v>498.65</v>
      </c>
      <c r="P23" s="16">
        <f>-418.03-541.19</f>
        <v>-959.22</v>
      </c>
      <c r="Q23" s="16">
        <v>731.98</v>
      </c>
      <c r="R23" s="16">
        <v>-498.65</v>
      </c>
      <c r="S23" s="16">
        <v>716.16</v>
      </c>
      <c r="T23" s="16">
        <v>-731.98</v>
      </c>
      <c r="U23" s="16">
        <v>143.29</v>
      </c>
      <c r="V23" s="4"/>
      <c r="W23" s="16">
        <v>24.4</v>
      </c>
      <c r="X23" s="16">
        <v>-716.16</v>
      </c>
      <c r="Y23" s="16">
        <v>14.93</v>
      </c>
      <c r="Z23" s="4"/>
      <c r="AA23" s="4"/>
      <c r="AB23" s="42">
        <f t="shared" si="0"/>
        <v>91.729999999999961</v>
      </c>
    </row>
    <row r="24" spans="1:28" ht="16.5" thickBot="1">
      <c r="A24" s="1" t="s">
        <v>14</v>
      </c>
      <c r="B24" s="36" t="s">
        <v>109</v>
      </c>
      <c r="C24" s="79">
        <v>737.47</v>
      </c>
      <c r="D24" s="4"/>
      <c r="E24" s="79">
        <v>232.42</v>
      </c>
      <c r="F24" s="4"/>
      <c r="G24" s="79">
        <v>345.02</v>
      </c>
      <c r="H24" s="4"/>
      <c r="I24" s="16">
        <v>77.260000000000005</v>
      </c>
      <c r="J24" s="4"/>
      <c r="K24" s="16">
        <v>918.03</v>
      </c>
      <c r="L24" s="4"/>
      <c r="M24" s="16">
        <v>920.38</v>
      </c>
      <c r="N24" s="16">
        <f>-1779.22-918.03</f>
        <v>-2697.25</v>
      </c>
      <c r="O24" s="16">
        <v>1389.58</v>
      </c>
      <c r="P24" s="16">
        <f>-920.38-1389.58</f>
        <v>-2309.96</v>
      </c>
      <c r="Q24" s="16">
        <v>1574.63</v>
      </c>
      <c r="R24" s="4"/>
      <c r="S24" s="16">
        <v>2238.5</v>
      </c>
      <c r="T24" s="16">
        <v>-1574.63</v>
      </c>
      <c r="U24" s="16">
        <v>3664.58</v>
      </c>
      <c r="V24" s="4"/>
      <c r="W24" s="16">
        <v>2259.71</v>
      </c>
      <c r="X24" s="16">
        <f>-2238.5-3664.58</f>
        <v>-5903.08</v>
      </c>
      <c r="Y24" s="16">
        <v>1215.57</v>
      </c>
      <c r="Z24" s="16">
        <f>-2259.71-1215.57</f>
        <v>-3475.2799999999997</v>
      </c>
      <c r="AA24" s="16"/>
      <c r="AB24" s="42">
        <f t="shared" si="0"/>
        <v>-387.05000000000018</v>
      </c>
    </row>
    <row r="25" spans="1:28" ht="16.5" thickBot="1">
      <c r="A25" s="48" t="s">
        <v>15</v>
      </c>
      <c r="B25" s="47" t="s">
        <v>110</v>
      </c>
      <c r="C25" s="80">
        <v>385</v>
      </c>
      <c r="D25" s="45"/>
      <c r="E25" s="80">
        <v>176.91</v>
      </c>
      <c r="F25" s="45"/>
      <c r="G25" s="80">
        <v>784.59</v>
      </c>
      <c r="H25" s="45"/>
      <c r="I25" s="46">
        <v>520.04</v>
      </c>
      <c r="J25" s="45"/>
      <c r="K25" s="46">
        <v>561.16</v>
      </c>
      <c r="L25" s="45"/>
      <c r="M25" s="46">
        <v>492.11</v>
      </c>
      <c r="N25" s="46">
        <f>-9382.24-3000</f>
        <v>-12382.24</v>
      </c>
      <c r="O25" s="46">
        <v>734.13</v>
      </c>
      <c r="P25" s="45"/>
      <c r="Q25" s="46">
        <v>859.67</v>
      </c>
      <c r="R25" s="45"/>
      <c r="S25" s="46">
        <v>335.41</v>
      </c>
      <c r="T25" s="45"/>
      <c r="U25" s="46">
        <v>412.88</v>
      </c>
      <c r="V25" s="45"/>
      <c r="W25" s="46">
        <v>689.64</v>
      </c>
      <c r="X25" s="45"/>
      <c r="Y25" s="46">
        <v>429.74</v>
      </c>
      <c r="Z25" s="45"/>
      <c r="AA25" s="45"/>
      <c r="AB25" s="42">
        <f t="shared" si="0"/>
        <v>-6000.9600000000009</v>
      </c>
    </row>
    <row r="26" spans="1:28" ht="16.5" thickBot="1">
      <c r="A26" s="1" t="s">
        <v>16</v>
      </c>
      <c r="B26" s="36" t="s">
        <v>111</v>
      </c>
      <c r="C26" s="79">
        <v>3.39</v>
      </c>
      <c r="D26" s="4"/>
      <c r="E26" s="79">
        <v>1.18</v>
      </c>
      <c r="F26" s="4"/>
      <c r="G26" s="79">
        <v>5.2</v>
      </c>
      <c r="H26" s="4"/>
      <c r="I26" s="16">
        <v>3.39</v>
      </c>
      <c r="J26" s="4"/>
      <c r="K26" s="16">
        <v>7.87</v>
      </c>
      <c r="L26" s="16">
        <v>-334.17</v>
      </c>
      <c r="M26" s="16">
        <v>54.87</v>
      </c>
      <c r="N26" s="4"/>
      <c r="O26" s="16">
        <v>112.25</v>
      </c>
      <c r="P26" s="4"/>
      <c r="Q26" s="16">
        <v>148.12</v>
      </c>
      <c r="R26" s="4"/>
      <c r="S26" s="16">
        <v>29.34</v>
      </c>
      <c r="T26" s="4"/>
      <c r="U26" s="16">
        <v>31.46</v>
      </c>
      <c r="V26" s="4"/>
      <c r="W26" s="16">
        <v>3.76</v>
      </c>
      <c r="X26" s="4"/>
      <c r="Y26" s="16">
        <v>0.91</v>
      </c>
      <c r="Z26" s="4"/>
      <c r="AA26" s="4"/>
      <c r="AB26" s="42">
        <f t="shared" si="0"/>
        <v>67.570000000000022</v>
      </c>
    </row>
    <row r="27" spans="1:28" ht="16.5" thickBot="1">
      <c r="A27" s="1" t="s">
        <v>17</v>
      </c>
      <c r="B27" s="36" t="s">
        <v>112</v>
      </c>
      <c r="C27" s="79">
        <v>42.08</v>
      </c>
      <c r="D27" s="4"/>
      <c r="E27" s="41" t="s">
        <v>202</v>
      </c>
      <c r="F27" s="4"/>
      <c r="G27" s="79">
        <v>59.23</v>
      </c>
      <c r="H27" s="4"/>
      <c r="I27" s="16">
        <v>0.62</v>
      </c>
      <c r="J27" s="4"/>
      <c r="K27" s="16">
        <v>349.18</v>
      </c>
      <c r="L27" s="4"/>
      <c r="M27" s="16">
        <v>440.96</v>
      </c>
      <c r="N27" s="4"/>
      <c r="O27" s="16">
        <v>608.91</v>
      </c>
      <c r="P27" s="16">
        <v>-1300</v>
      </c>
      <c r="Q27" s="16">
        <v>596.94000000000005</v>
      </c>
      <c r="R27" s="4"/>
      <c r="S27" s="16">
        <v>414.73</v>
      </c>
      <c r="T27" s="4"/>
      <c r="U27" s="16">
        <v>1.89</v>
      </c>
      <c r="V27" s="4"/>
      <c r="W27" s="16">
        <v>51.63</v>
      </c>
      <c r="X27" s="4"/>
      <c r="Y27" s="16">
        <v>9.89</v>
      </c>
      <c r="Z27" s="4"/>
      <c r="AA27" s="4"/>
      <c r="AB27" s="42">
        <f t="shared" si="0"/>
        <v>1276.0600000000004</v>
      </c>
    </row>
    <row r="28" spans="1:28" ht="16.5" thickBot="1">
      <c r="A28" s="1" t="s">
        <v>18</v>
      </c>
      <c r="B28" s="36" t="s">
        <v>113</v>
      </c>
      <c r="C28" s="79">
        <v>2.97</v>
      </c>
      <c r="D28" s="4"/>
      <c r="E28" s="79">
        <v>1.02</v>
      </c>
      <c r="F28" s="4"/>
      <c r="G28" s="79">
        <v>4.66</v>
      </c>
      <c r="H28" s="4"/>
      <c r="I28" s="16">
        <v>3.02</v>
      </c>
      <c r="J28" s="4"/>
      <c r="K28" s="16">
        <v>28.64</v>
      </c>
      <c r="L28" s="4"/>
      <c r="M28" s="16">
        <v>111.19</v>
      </c>
      <c r="N28" s="4"/>
      <c r="O28" s="16">
        <v>131.32</v>
      </c>
      <c r="P28" s="16">
        <v>-117.53</v>
      </c>
      <c r="Q28" s="16">
        <v>81.790000000000006</v>
      </c>
      <c r="R28" s="16">
        <f>-111.19-131.32</f>
        <v>-242.51</v>
      </c>
      <c r="S28" s="16">
        <v>180.3</v>
      </c>
      <c r="T28" s="16">
        <v>-81.790000000000006</v>
      </c>
      <c r="U28" s="16">
        <v>253.66</v>
      </c>
      <c r="V28" s="4"/>
      <c r="W28" s="16">
        <v>3.22</v>
      </c>
      <c r="X28" s="16">
        <v>-433.96</v>
      </c>
      <c r="Y28" s="16">
        <v>0.06</v>
      </c>
      <c r="Z28" s="4"/>
      <c r="AA28" s="4"/>
      <c r="AB28" s="42">
        <f t="shared" si="0"/>
        <v>-73.939999999999941</v>
      </c>
    </row>
    <row r="29" spans="1:28" ht="16.5" thickBot="1">
      <c r="A29" s="1" t="s">
        <v>19</v>
      </c>
      <c r="B29" s="36" t="s">
        <v>114</v>
      </c>
      <c r="C29" s="41" t="s">
        <v>202</v>
      </c>
      <c r="D29" s="4"/>
      <c r="E29" s="41" t="s">
        <v>202</v>
      </c>
      <c r="F29" s="4"/>
      <c r="G29" s="41" t="s">
        <v>202</v>
      </c>
      <c r="H29" s="4"/>
      <c r="I29" s="16" t="s">
        <v>202</v>
      </c>
      <c r="J29" s="4"/>
      <c r="K29" s="16">
        <v>125.78</v>
      </c>
      <c r="L29" s="4"/>
      <c r="M29" s="16">
        <v>442.39</v>
      </c>
      <c r="N29" s="16">
        <v>-381.34</v>
      </c>
      <c r="O29" s="16">
        <v>584.66999999999996</v>
      </c>
      <c r="P29" s="16">
        <v>-442.39</v>
      </c>
      <c r="Q29" s="16">
        <v>642.72</v>
      </c>
      <c r="R29" s="16">
        <v>-584.66999999999996</v>
      </c>
      <c r="S29" s="16">
        <v>426.39</v>
      </c>
      <c r="T29" s="4"/>
      <c r="U29" s="16">
        <v>332.59</v>
      </c>
      <c r="V29" s="4"/>
      <c r="W29" s="16">
        <v>329.49</v>
      </c>
      <c r="X29" s="16">
        <v>-1401.7</v>
      </c>
      <c r="Y29" s="16" t="s">
        <v>202</v>
      </c>
      <c r="Z29" s="16">
        <v>-329.49</v>
      </c>
      <c r="AA29" s="16"/>
      <c r="AB29" s="42">
        <f t="shared" si="0"/>
        <v>-255.55999999999995</v>
      </c>
    </row>
    <row r="30" spans="1:28" ht="16.5" thickBot="1">
      <c r="A30" s="48" t="s">
        <v>20</v>
      </c>
      <c r="B30" s="47" t="s">
        <v>206</v>
      </c>
      <c r="C30" s="80">
        <v>143.96</v>
      </c>
      <c r="D30" s="45"/>
      <c r="E30" s="80">
        <v>51.24</v>
      </c>
      <c r="F30" s="45"/>
      <c r="G30" s="80">
        <v>227.87</v>
      </c>
      <c r="H30" s="45"/>
      <c r="I30" s="46">
        <v>397.94</v>
      </c>
      <c r="J30" s="45"/>
      <c r="K30" s="46">
        <v>1756.07</v>
      </c>
      <c r="L30" s="46">
        <v>-8171.34</v>
      </c>
      <c r="M30" s="46">
        <v>1272.3499999999999</v>
      </c>
      <c r="N30" s="45"/>
      <c r="O30" s="46">
        <v>2157.79</v>
      </c>
      <c r="P30" s="46">
        <v>-5186.21</v>
      </c>
      <c r="Q30" s="46">
        <v>2799.7</v>
      </c>
      <c r="R30" s="45"/>
      <c r="S30" s="46">
        <v>2778.46</v>
      </c>
      <c r="T30" s="46">
        <v>-2800</v>
      </c>
      <c r="U30" s="46">
        <v>2747.1</v>
      </c>
      <c r="V30" s="46">
        <v>-2778.46</v>
      </c>
      <c r="W30" s="46">
        <v>2751.41</v>
      </c>
      <c r="X30" s="46">
        <v>-2747.1</v>
      </c>
      <c r="Y30" s="46">
        <v>3758.71</v>
      </c>
      <c r="Z30" s="46">
        <v>-2751.41</v>
      </c>
      <c r="AA30" s="46"/>
      <c r="AB30" s="42">
        <f t="shared" si="0"/>
        <v>-3591.920000000001</v>
      </c>
    </row>
    <row r="31" spans="1:28" ht="16.5" thickBot="1">
      <c r="A31" s="1" t="s">
        <v>21</v>
      </c>
      <c r="B31" s="36" t="s">
        <v>115</v>
      </c>
      <c r="C31" s="79">
        <v>1.54</v>
      </c>
      <c r="D31" s="4"/>
      <c r="E31" s="79">
        <v>0.54</v>
      </c>
      <c r="F31" s="4"/>
      <c r="G31" s="79">
        <v>2.35</v>
      </c>
      <c r="H31" s="4"/>
      <c r="I31" s="16">
        <v>1.59</v>
      </c>
      <c r="J31" s="4"/>
      <c r="K31" s="16">
        <v>292.24</v>
      </c>
      <c r="L31" s="4"/>
      <c r="M31" s="16">
        <v>529.37</v>
      </c>
      <c r="N31" s="16">
        <v>-1085.2</v>
      </c>
      <c r="O31" s="16">
        <v>533.01</v>
      </c>
      <c r="P31" s="16">
        <v>-527.39</v>
      </c>
      <c r="Q31" s="16">
        <v>623.76</v>
      </c>
      <c r="R31" s="16">
        <v>-533.01</v>
      </c>
      <c r="S31" s="16">
        <v>1339.03</v>
      </c>
      <c r="T31" s="16">
        <v>-623.76</v>
      </c>
      <c r="U31" s="16">
        <v>294.77999999999997</v>
      </c>
      <c r="V31" s="4"/>
      <c r="W31" s="16">
        <v>3.79</v>
      </c>
      <c r="X31" s="4"/>
      <c r="Y31" s="16">
        <v>2.11</v>
      </c>
      <c r="Z31" s="16">
        <v>-1340</v>
      </c>
      <c r="AA31" s="16"/>
      <c r="AB31" s="42">
        <f t="shared" si="0"/>
        <v>-485.25000000000011</v>
      </c>
    </row>
    <row r="32" spans="1:28" ht="16.5" thickBot="1">
      <c r="A32" s="1" t="s">
        <v>22</v>
      </c>
      <c r="B32" s="36" t="s">
        <v>116</v>
      </c>
      <c r="C32" s="79">
        <v>3.97</v>
      </c>
      <c r="D32" s="4"/>
      <c r="E32" s="79">
        <v>1.39</v>
      </c>
      <c r="F32" s="4"/>
      <c r="G32" s="79">
        <v>5.98</v>
      </c>
      <c r="H32" s="4"/>
      <c r="I32" s="16">
        <v>3.93</v>
      </c>
      <c r="J32" s="16">
        <v>-58.94</v>
      </c>
      <c r="K32" s="16">
        <v>80.94</v>
      </c>
      <c r="L32" s="4"/>
      <c r="M32" s="16">
        <v>122.78</v>
      </c>
      <c r="N32" s="16">
        <f>-3.86-3.97-7.67-11.3-34.52-80.94</f>
        <v>-142.26</v>
      </c>
      <c r="O32" s="16">
        <v>240.36</v>
      </c>
      <c r="P32" s="16">
        <v>-122.78</v>
      </c>
      <c r="Q32" s="16">
        <v>199.64</v>
      </c>
      <c r="R32" s="16">
        <v>-240.36</v>
      </c>
      <c r="S32" s="16">
        <v>89.16</v>
      </c>
      <c r="T32" s="4"/>
      <c r="U32" s="16">
        <v>260.74</v>
      </c>
      <c r="V32" s="4"/>
      <c r="W32" s="16">
        <v>351.83</v>
      </c>
      <c r="X32" s="16">
        <f>-89.16-199.64-260.74</f>
        <v>-549.54</v>
      </c>
      <c r="Y32" s="16">
        <v>43.5</v>
      </c>
      <c r="Z32" s="16">
        <v>-351.83</v>
      </c>
      <c r="AA32" s="16"/>
      <c r="AB32" s="42">
        <f t="shared" si="0"/>
        <v>-61.490000000000066</v>
      </c>
    </row>
    <row r="33" spans="1:28" ht="16.5" thickBot="1">
      <c r="A33" s="1" t="s">
        <v>23</v>
      </c>
      <c r="B33" s="36" t="s">
        <v>117</v>
      </c>
      <c r="C33" s="79">
        <v>3.08</v>
      </c>
      <c r="D33" s="4"/>
      <c r="E33" s="79">
        <v>1.07</v>
      </c>
      <c r="F33" s="4"/>
      <c r="G33" s="79">
        <v>4.7300000000000004</v>
      </c>
      <c r="H33" s="4"/>
      <c r="I33" s="16">
        <v>3.12</v>
      </c>
      <c r="J33" s="4"/>
      <c r="K33" s="16">
        <v>601.24</v>
      </c>
      <c r="L33" s="4"/>
      <c r="M33" s="16">
        <v>409.23</v>
      </c>
      <c r="N33" s="4"/>
      <c r="O33" s="16">
        <v>734.53</v>
      </c>
      <c r="P33" s="4"/>
      <c r="Q33" s="16">
        <v>1205.52</v>
      </c>
      <c r="R33" s="4"/>
      <c r="S33" s="16">
        <v>1267.8699999999999</v>
      </c>
      <c r="T33" s="4"/>
      <c r="U33" s="16">
        <v>326.24</v>
      </c>
      <c r="V33" s="16">
        <v>-200</v>
      </c>
      <c r="W33" s="16">
        <v>265.18</v>
      </c>
      <c r="X33" s="4"/>
      <c r="Y33" s="16">
        <v>3.61</v>
      </c>
      <c r="Z33" s="4"/>
      <c r="AA33" s="4"/>
      <c r="AB33" s="42">
        <f t="shared" si="0"/>
        <v>4625.4199999999992</v>
      </c>
    </row>
    <row r="34" spans="1:28" ht="16.5" thickBot="1">
      <c r="A34" s="1" t="s">
        <v>24</v>
      </c>
      <c r="B34" s="36" t="s">
        <v>118</v>
      </c>
      <c r="C34" s="79">
        <v>3.14</v>
      </c>
      <c r="D34" s="4"/>
      <c r="E34" s="79">
        <v>1.1100000000000001</v>
      </c>
      <c r="F34" s="4"/>
      <c r="G34" s="79">
        <v>4.87</v>
      </c>
      <c r="H34" s="4"/>
      <c r="I34" s="16">
        <v>3.08</v>
      </c>
      <c r="J34" s="4"/>
      <c r="K34" s="16">
        <v>43.78</v>
      </c>
      <c r="L34" s="4"/>
      <c r="M34" s="16">
        <v>166.8</v>
      </c>
      <c r="N34" s="16">
        <v>-200</v>
      </c>
      <c r="O34" s="16">
        <v>237.43</v>
      </c>
      <c r="P34" s="4"/>
      <c r="Q34" s="16">
        <v>239.56</v>
      </c>
      <c r="R34" s="16">
        <v>-220</v>
      </c>
      <c r="S34" s="16">
        <v>340.88</v>
      </c>
      <c r="T34" s="4"/>
      <c r="U34" s="16">
        <v>49.4</v>
      </c>
      <c r="V34" s="4"/>
      <c r="W34" s="16">
        <v>3.52</v>
      </c>
      <c r="X34" s="4"/>
      <c r="Y34" s="16">
        <v>3.49</v>
      </c>
      <c r="Z34" s="4"/>
      <c r="AA34" s="4"/>
      <c r="AB34" s="42">
        <f t="shared" si="0"/>
        <v>677.06000000000006</v>
      </c>
    </row>
    <row r="35" spans="1:28" ht="16.5" thickBot="1">
      <c r="A35" s="1" t="s">
        <v>25</v>
      </c>
      <c r="B35" s="36" t="s">
        <v>119</v>
      </c>
      <c r="C35" s="41" t="s">
        <v>202</v>
      </c>
      <c r="D35" s="4"/>
      <c r="E35" s="41" t="s">
        <v>202</v>
      </c>
      <c r="F35" s="4"/>
      <c r="G35" s="41" t="s">
        <v>202</v>
      </c>
      <c r="H35" s="4"/>
      <c r="I35" s="16" t="s">
        <v>202</v>
      </c>
      <c r="J35" s="4"/>
      <c r="K35" s="16">
        <v>40.26</v>
      </c>
      <c r="L35" s="4"/>
      <c r="M35" s="16">
        <v>54.44</v>
      </c>
      <c r="N35" s="4"/>
      <c r="O35" s="16">
        <v>219.82</v>
      </c>
      <c r="P35" s="4"/>
      <c r="Q35" s="16">
        <v>308.64999999999998</v>
      </c>
      <c r="R35" s="16">
        <v>-314.52</v>
      </c>
      <c r="S35" s="16">
        <v>37.979999999999997</v>
      </c>
      <c r="T35" s="4"/>
      <c r="U35" s="16" t="s">
        <v>202</v>
      </c>
      <c r="V35" s="16">
        <v>-346.63</v>
      </c>
      <c r="W35" s="16" t="s">
        <v>202</v>
      </c>
      <c r="X35" s="4"/>
      <c r="Y35" s="16" t="s">
        <v>202</v>
      </c>
      <c r="Z35" s="4"/>
      <c r="AA35" s="4"/>
      <c r="AB35" s="42">
        <f t="shared" si="0"/>
        <v>0</v>
      </c>
    </row>
    <row r="36" spans="1:28" ht="16.5" thickBot="1">
      <c r="A36" s="1" t="s">
        <v>193</v>
      </c>
      <c r="B36" s="36" t="s">
        <v>192</v>
      </c>
      <c r="C36" s="41" t="s">
        <v>202</v>
      </c>
      <c r="D36" s="4"/>
      <c r="E36" s="41" t="s">
        <v>202</v>
      </c>
      <c r="F36" s="4"/>
      <c r="G36" s="41" t="s">
        <v>202</v>
      </c>
      <c r="H36" s="4"/>
      <c r="I36" s="16" t="s">
        <v>202</v>
      </c>
      <c r="J36" s="4"/>
      <c r="K36" s="16" t="s">
        <v>202</v>
      </c>
      <c r="L36" s="4"/>
      <c r="M36" s="16" t="s">
        <v>202</v>
      </c>
      <c r="N36" s="4"/>
      <c r="O36" s="16">
        <v>257.14999999999998</v>
      </c>
      <c r="P36" s="4"/>
      <c r="Q36" s="16">
        <v>673.36</v>
      </c>
      <c r="R36" s="16">
        <v>-257.14999999999998</v>
      </c>
      <c r="S36" s="16">
        <v>33.06</v>
      </c>
      <c r="T36" s="4"/>
      <c r="U36" s="16" t="s">
        <v>202</v>
      </c>
      <c r="V36" s="16">
        <v>-706.42</v>
      </c>
      <c r="W36" s="16" t="s">
        <v>202</v>
      </c>
      <c r="X36" s="4"/>
      <c r="Y36" s="16" t="s">
        <v>202</v>
      </c>
      <c r="Z36" s="4"/>
      <c r="AA36" s="4"/>
      <c r="AB36" s="42">
        <f t="shared" si="0"/>
        <v>0</v>
      </c>
    </row>
    <row r="37" spans="1:28" ht="16.5" thickBot="1">
      <c r="A37" s="1" t="s">
        <v>26</v>
      </c>
      <c r="B37" s="36" t="s">
        <v>120</v>
      </c>
      <c r="C37" s="79">
        <v>2.95</v>
      </c>
      <c r="D37" s="4"/>
      <c r="E37" s="79">
        <v>1</v>
      </c>
      <c r="F37" s="4"/>
      <c r="G37" s="79">
        <v>4.43</v>
      </c>
      <c r="H37" s="4"/>
      <c r="I37" s="16">
        <v>2.87</v>
      </c>
      <c r="J37" s="4"/>
      <c r="K37" s="16">
        <v>89.28</v>
      </c>
      <c r="L37" s="4"/>
      <c r="M37" s="16">
        <v>224.22</v>
      </c>
      <c r="N37" s="4"/>
      <c r="O37" s="16">
        <v>215.74</v>
      </c>
      <c r="P37" s="4"/>
      <c r="Q37" s="16">
        <v>126.73</v>
      </c>
      <c r="R37" s="4"/>
      <c r="S37" s="16">
        <v>30.86</v>
      </c>
      <c r="T37" s="16">
        <v>-800</v>
      </c>
      <c r="U37" s="16">
        <v>2.91</v>
      </c>
      <c r="V37" s="4"/>
      <c r="W37" s="16">
        <v>2.92</v>
      </c>
      <c r="X37" s="4"/>
      <c r="Y37" s="16">
        <v>3.37</v>
      </c>
      <c r="Z37" s="4"/>
      <c r="AA37" s="4"/>
      <c r="AB37" s="42">
        <f t="shared" si="0"/>
        <v>-92.719999999999956</v>
      </c>
    </row>
    <row r="38" spans="1:28" ht="16.5" thickBot="1">
      <c r="A38" s="1" t="s">
        <v>27</v>
      </c>
      <c r="B38" s="36" t="s">
        <v>121</v>
      </c>
      <c r="C38" s="79">
        <v>3.08</v>
      </c>
      <c r="D38" s="4"/>
      <c r="E38" s="79">
        <v>1.1100000000000001</v>
      </c>
      <c r="F38" s="4"/>
      <c r="G38" s="79">
        <v>4.74</v>
      </c>
      <c r="H38" s="4"/>
      <c r="I38" s="16">
        <v>3.06</v>
      </c>
      <c r="J38" s="4"/>
      <c r="K38" s="16">
        <v>2.95</v>
      </c>
      <c r="L38" s="4"/>
      <c r="M38" s="16">
        <v>2.97</v>
      </c>
      <c r="N38" s="4"/>
      <c r="O38" s="16">
        <v>98.64</v>
      </c>
      <c r="P38" s="16">
        <v>-456.44</v>
      </c>
      <c r="Q38" s="16">
        <v>112.39</v>
      </c>
      <c r="R38" s="4"/>
      <c r="S38" s="16">
        <v>64.64</v>
      </c>
      <c r="T38" s="4"/>
      <c r="U38" s="16">
        <v>3.36</v>
      </c>
      <c r="V38" s="4"/>
      <c r="W38" s="16">
        <v>3.32</v>
      </c>
      <c r="X38" s="4"/>
      <c r="Y38" s="16">
        <v>3.6</v>
      </c>
      <c r="Z38" s="4"/>
      <c r="AA38" s="4"/>
      <c r="AB38" s="42">
        <f t="shared" si="0"/>
        <v>-152.58000000000001</v>
      </c>
    </row>
    <row r="39" spans="1:28" ht="16.5" thickBot="1">
      <c r="A39" s="1" t="s">
        <v>28</v>
      </c>
      <c r="B39" s="36" t="s">
        <v>122</v>
      </c>
      <c r="C39" s="79">
        <v>8.14</v>
      </c>
      <c r="D39" s="4"/>
      <c r="E39" s="79">
        <v>2.82</v>
      </c>
      <c r="F39" s="4"/>
      <c r="G39" s="79">
        <v>12.7</v>
      </c>
      <c r="H39" s="4"/>
      <c r="I39" s="16">
        <v>8.36</v>
      </c>
      <c r="J39" s="4"/>
      <c r="K39" s="16">
        <v>8.08</v>
      </c>
      <c r="L39" s="4"/>
      <c r="M39" s="16">
        <v>11.38</v>
      </c>
      <c r="N39" s="4"/>
      <c r="O39" s="16">
        <v>9.19</v>
      </c>
      <c r="P39" s="4"/>
      <c r="Q39" s="16">
        <v>151.85</v>
      </c>
      <c r="R39" s="4"/>
      <c r="S39" s="16" t="s">
        <v>202</v>
      </c>
      <c r="T39" s="4"/>
      <c r="U39" s="16">
        <v>1.7</v>
      </c>
      <c r="V39" s="4"/>
      <c r="W39" s="16" t="s">
        <v>202</v>
      </c>
      <c r="X39" s="4"/>
      <c r="Y39" s="16" t="s">
        <v>202</v>
      </c>
      <c r="Z39" s="4"/>
      <c r="AA39" s="4"/>
      <c r="AB39" s="42">
        <f t="shared" si="0"/>
        <v>214.21999999999997</v>
      </c>
    </row>
    <row r="40" spans="1:28" ht="16.5" thickBot="1">
      <c r="A40" s="1" t="s">
        <v>29</v>
      </c>
      <c r="B40" s="36" t="s">
        <v>123</v>
      </c>
      <c r="C40" s="41" t="s">
        <v>202</v>
      </c>
      <c r="D40" s="4"/>
      <c r="E40" s="41" t="s">
        <v>202</v>
      </c>
      <c r="F40" s="4"/>
      <c r="G40" s="41" t="s">
        <v>202</v>
      </c>
      <c r="H40" s="4"/>
      <c r="I40" s="16" t="s">
        <v>202</v>
      </c>
      <c r="J40" s="4"/>
      <c r="K40" s="16">
        <v>657.17</v>
      </c>
      <c r="L40" s="16">
        <f>-295.4-657.17</f>
        <v>-952.56999999999994</v>
      </c>
      <c r="M40" s="16">
        <v>566.42999999999995</v>
      </c>
      <c r="N40" s="4"/>
      <c r="O40" s="16">
        <v>572.15</v>
      </c>
      <c r="P40" s="16">
        <f>-566.43-572.15</f>
        <v>-1138.58</v>
      </c>
      <c r="Q40" s="16">
        <v>755.89</v>
      </c>
      <c r="R40" s="4"/>
      <c r="S40" s="16">
        <v>1342.36</v>
      </c>
      <c r="T40" s="16">
        <f>-755.89-1342.36</f>
        <v>-2098.25</v>
      </c>
      <c r="U40" s="16">
        <v>24.2</v>
      </c>
      <c r="V40" s="4"/>
      <c r="W40" s="16" t="s">
        <v>202</v>
      </c>
      <c r="X40" s="4"/>
      <c r="Y40" s="16" t="s">
        <v>202</v>
      </c>
      <c r="Z40" s="4"/>
      <c r="AA40" s="4"/>
      <c r="AB40" s="42">
        <f t="shared" si="0"/>
        <v>-271.2000000000001</v>
      </c>
    </row>
    <row r="41" spans="1:28" ht="16.5" thickBot="1">
      <c r="A41" s="48" t="s">
        <v>30</v>
      </c>
      <c r="B41" s="47" t="s">
        <v>124</v>
      </c>
      <c r="C41" s="57" t="s">
        <v>202</v>
      </c>
      <c r="D41" s="45"/>
      <c r="E41" s="57" t="s">
        <v>202</v>
      </c>
      <c r="F41" s="45"/>
      <c r="G41" s="57" t="s">
        <v>202</v>
      </c>
      <c r="H41" s="45"/>
      <c r="I41" s="46" t="s">
        <v>202</v>
      </c>
      <c r="J41" s="45"/>
      <c r="K41" s="46">
        <v>72.44</v>
      </c>
      <c r="L41" s="45"/>
      <c r="M41" s="46">
        <v>312.57</v>
      </c>
      <c r="N41" s="45"/>
      <c r="O41" s="46">
        <v>386.46</v>
      </c>
      <c r="P41" s="46">
        <v>-211.5</v>
      </c>
      <c r="Q41" s="46">
        <v>379.15</v>
      </c>
      <c r="R41" s="45"/>
      <c r="S41" s="46">
        <v>429.9</v>
      </c>
      <c r="T41" s="46">
        <v>-765.61</v>
      </c>
      <c r="U41" s="46">
        <v>11.39</v>
      </c>
      <c r="V41" s="46">
        <v>-429.9</v>
      </c>
      <c r="W41" s="46" t="s">
        <v>202</v>
      </c>
      <c r="X41" s="45"/>
      <c r="Y41" s="46" t="s">
        <v>202</v>
      </c>
      <c r="Z41" s="46">
        <v>-11.39</v>
      </c>
      <c r="AA41" s="46"/>
      <c r="AB41" s="42">
        <f t="shared" si="0"/>
        <v>173.51</v>
      </c>
    </row>
    <row r="42" spans="1:28" ht="16.5" thickBot="1">
      <c r="A42" s="1" t="s">
        <v>31</v>
      </c>
      <c r="B42" s="36" t="s">
        <v>125</v>
      </c>
      <c r="C42" s="79">
        <v>10.79</v>
      </c>
      <c r="D42" s="4"/>
      <c r="E42" s="79">
        <v>1.17</v>
      </c>
      <c r="F42" s="4"/>
      <c r="G42" s="79">
        <v>16.100000000000001</v>
      </c>
      <c r="H42" s="4"/>
      <c r="I42" s="16">
        <v>3.42</v>
      </c>
      <c r="J42" s="4"/>
      <c r="K42" s="16">
        <v>65.930000000000007</v>
      </c>
      <c r="L42" s="16">
        <v>-827.13</v>
      </c>
      <c r="M42" s="16">
        <v>228.81</v>
      </c>
      <c r="N42" s="4"/>
      <c r="O42" s="16">
        <v>188.59</v>
      </c>
      <c r="P42" s="4"/>
      <c r="Q42" s="16">
        <v>325.93</v>
      </c>
      <c r="R42" s="16">
        <v>-326</v>
      </c>
      <c r="S42" s="16">
        <v>239.67</v>
      </c>
      <c r="T42" s="4"/>
      <c r="U42" s="16">
        <v>491.07</v>
      </c>
      <c r="V42" s="4"/>
      <c r="W42" s="16">
        <v>17.13</v>
      </c>
      <c r="X42" s="4"/>
      <c r="Y42" s="16">
        <v>185.18</v>
      </c>
      <c r="Z42" s="4"/>
      <c r="AA42" s="4"/>
      <c r="AB42" s="42">
        <f t="shared" si="0"/>
        <v>620.65999999999985</v>
      </c>
    </row>
    <row r="43" spans="1:28" ht="16.5" thickBot="1">
      <c r="A43" s="1" t="s">
        <v>32</v>
      </c>
      <c r="B43" s="36" t="s">
        <v>126</v>
      </c>
      <c r="C43" s="79">
        <v>7.81</v>
      </c>
      <c r="D43" s="4"/>
      <c r="E43" s="79">
        <v>2.76</v>
      </c>
      <c r="F43" s="4"/>
      <c r="G43" s="79">
        <v>12.27</v>
      </c>
      <c r="H43" s="4"/>
      <c r="I43" s="16">
        <v>8.27</v>
      </c>
      <c r="J43" s="4"/>
      <c r="K43" s="16">
        <v>310.70999999999998</v>
      </c>
      <c r="L43" s="16">
        <f>-16.98-31.11</f>
        <v>-48.09</v>
      </c>
      <c r="M43" s="16">
        <v>877.78</v>
      </c>
      <c r="N43" s="16">
        <v>-310.70999999999998</v>
      </c>
      <c r="O43" s="16">
        <v>921.4</v>
      </c>
      <c r="P43" s="16">
        <v>-877.78</v>
      </c>
      <c r="Q43" s="16">
        <v>1083.8800000000001</v>
      </c>
      <c r="R43" s="16">
        <f>-921.4-1083.88</f>
        <v>-2005.2800000000002</v>
      </c>
      <c r="S43" s="16">
        <v>1523.02</v>
      </c>
      <c r="T43" s="4"/>
      <c r="U43" s="16">
        <v>560.46</v>
      </c>
      <c r="V43" s="16">
        <f>-1523.02-560.46</f>
        <v>-2083.48</v>
      </c>
      <c r="W43" s="16">
        <v>183.23</v>
      </c>
      <c r="X43" s="4"/>
      <c r="Y43" s="16">
        <v>9.57</v>
      </c>
      <c r="Z43" s="16">
        <v>-183.23</v>
      </c>
      <c r="AA43" s="16"/>
      <c r="AB43" s="42">
        <f t="shared" ref="AB43:AB74" si="1">SUM(C43:AA43)</f>
        <v>-7.410000000000025</v>
      </c>
    </row>
    <row r="44" spans="1:28" ht="16.5" thickBot="1">
      <c r="A44" s="48" t="s">
        <v>33</v>
      </c>
      <c r="B44" s="47" t="s">
        <v>127</v>
      </c>
      <c r="C44" s="80">
        <v>1.55</v>
      </c>
      <c r="D44" s="45"/>
      <c r="E44" s="80">
        <v>0.54</v>
      </c>
      <c r="F44" s="45"/>
      <c r="G44" s="80">
        <v>2.4900000000000002</v>
      </c>
      <c r="H44" s="45"/>
      <c r="I44" s="46">
        <v>1.55</v>
      </c>
      <c r="J44" s="45"/>
      <c r="K44" s="46">
        <v>706.96</v>
      </c>
      <c r="L44" s="45"/>
      <c r="M44" s="46">
        <v>498.32</v>
      </c>
      <c r="N44" s="45"/>
      <c r="O44" s="46">
        <v>564.75</v>
      </c>
      <c r="P44" s="45"/>
      <c r="Q44" s="46">
        <v>745.16</v>
      </c>
      <c r="R44" s="45"/>
      <c r="S44" s="46">
        <v>1849.74</v>
      </c>
      <c r="T44" s="46">
        <v>-2523</v>
      </c>
      <c r="U44" s="46">
        <v>3571.1</v>
      </c>
      <c r="V44" s="45"/>
      <c r="W44" s="46">
        <v>1654.53</v>
      </c>
      <c r="X44" s="45"/>
      <c r="Y44" s="46">
        <v>2.04</v>
      </c>
      <c r="Z44" s="46">
        <v>-7075.37</v>
      </c>
      <c r="AA44" s="46"/>
      <c r="AB44" s="42">
        <f t="shared" si="1"/>
        <v>0.35999999999967258</v>
      </c>
    </row>
    <row r="45" spans="1:28" ht="16.5" thickBot="1">
      <c r="A45" s="1" t="s">
        <v>34</v>
      </c>
      <c r="B45" s="36" t="s">
        <v>128</v>
      </c>
      <c r="C45" s="79">
        <v>9016.4500000000007</v>
      </c>
      <c r="D45" s="16">
        <v>-10000</v>
      </c>
      <c r="E45" s="79">
        <v>2038.44</v>
      </c>
      <c r="F45" s="4"/>
      <c r="G45" s="79">
        <v>10047.81</v>
      </c>
      <c r="H45" s="4"/>
      <c r="I45" s="16">
        <v>2363.48</v>
      </c>
      <c r="J45" s="4"/>
      <c r="K45" s="16">
        <v>1477.71</v>
      </c>
      <c r="L45" s="4"/>
      <c r="M45" s="16">
        <v>1696.73</v>
      </c>
      <c r="N45" s="4"/>
      <c r="O45" s="16">
        <v>2576.67</v>
      </c>
      <c r="P45" s="16">
        <v>-25730</v>
      </c>
      <c r="Q45" s="16">
        <v>2287.88</v>
      </c>
      <c r="R45" s="16"/>
      <c r="S45" s="16">
        <v>4821.2700000000004</v>
      </c>
      <c r="T45" s="4"/>
      <c r="U45" s="16">
        <v>6905.02</v>
      </c>
      <c r="V45" s="4"/>
      <c r="W45" s="16">
        <v>987.44</v>
      </c>
      <c r="X45" s="4"/>
      <c r="Y45" s="16">
        <v>5038.2700000000004</v>
      </c>
      <c r="Z45" s="4"/>
      <c r="AA45" s="4"/>
      <c r="AB45" s="42">
        <f t="shared" si="1"/>
        <v>13527.170000000002</v>
      </c>
    </row>
    <row r="46" spans="1:28" ht="16.5" thickBot="1">
      <c r="A46" s="1" t="s">
        <v>191</v>
      </c>
      <c r="B46" s="36" t="s">
        <v>190</v>
      </c>
      <c r="C46" s="79">
        <v>3.2</v>
      </c>
      <c r="D46" s="4"/>
      <c r="E46" s="79">
        <v>1.1299999999999999</v>
      </c>
      <c r="F46" s="4"/>
      <c r="G46" s="79">
        <v>4.99</v>
      </c>
      <c r="H46" s="4"/>
      <c r="I46" s="16">
        <v>3.23</v>
      </c>
      <c r="J46" s="4"/>
      <c r="K46" s="16">
        <v>188.06</v>
      </c>
      <c r="L46" s="4"/>
      <c r="M46" s="16">
        <v>199.04</v>
      </c>
      <c r="N46" s="4"/>
      <c r="O46" s="16">
        <v>482.91</v>
      </c>
      <c r="P46" s="4"/>
      <c r="Q46" s="16">
        <v>961.8</v>
      </c>
      <c r="R46" s="4"/>
      <c r="S46" s="16">
        <v>2055.2800000000002</v>
      </c>
      <c r="T46" s="4"/>
      <c r="U46" s="16">
        <v>183.23</v>
      </c>
      <c r="V46" s="4"/>
      <c r="W46" s="16">
        <v>3.53</v>
      </c>
      <c r="X46" s="16">
        <v>-2055.2800000000002</v>
      </c>
      <c r="Y46" s="16">
        <v>3.78</v>
      </c>
      <c r="Z46" s="4"/>
      <c r="AA46" s="4"/>
      <c r="AB46" s="42">
        <f t="shared" si="1"/>
        <v>2034.9000000000003</v>
      </c>
    </row>
    <row r="47" spans="1:28" ht="16.5" thickBot="1">
      <c r="A47" s="1" t="s">
        <v>35</v>
      </c>
      <c r="B47" s="36" t="s">
        <v>171</v>
      </c>
      <c r="C47" s="41" t="s">
        <v>202</v>
      </c>
      <c r="D47" s="4"/>
      <c r="E47" s="41" t="s">
        <v>202</v>
      </c>
      <c r="F47" s="4"/>
      <c r="G47" s="41" t="s">
        <v>202</v>
      </c>
      <c r="H47" s="4"/>
      <c r="I47" s="16" t="s">
        <v>202</v>
      </c>
      <c r="J47" s="4"/>
      <c r="K47" s="16">
        <v>1.85</v>
      </c>
      <c r="L47" s="4"/>
      <c r="M47" s="16">
        <v>47.36</v>
      </c>
      <c r="N47" s="4"/>
      <c r="O47" s="16">
        <v>112.53</v>
      </c>
      <c r="P47" s="16">
        <f>-500-47.36</f>
        <v>-547.36</v>
      </c>
      <c r="Q47" s="16">
        <v>47.57</v>
      </c>
      <c r="R47" s="16">
        <v>-112.53</v>
      </c>
      <c r="S47" s="16">
        <v>6.3</v>
      </c>
      <c r="T47" s="4"/>
      <c r="U47" s="16" t="s">
        <v>202</v>
      </c>
      <c r="V47" s="4"/>
      <c r="W47" s="16">
        <v>0.02</v>
      </c>
      <c r="X47" s="16">
        <v>-47.57</v>
      </c>
      <c r="Y47" s="16" t="s">
        <v>202</v>
      </c>
      <c r="Z47" s="4"/>
      <c r="AA47" s="4"/>
      <c r="AB47" s="42">
        <f t="shared" si="1"/>
        <v>-491.83000000000004</v>
      </c>
    </row>
    <row r="48" spans="1:28" ht="16.5" thickBot="1">
      <c r="A48" s="1" t="s">
        <v>36</v>
      </c>
      <c r="B48" s="36" t="s">
        <v>205</v>
      </c>
      <c r="C48" s="79">
        <v>2.91</v>
      </c>
      <c r="D48" s="4"/>
      <c r="E48" s="79">
        <v>1.02</v>
      </c>
      <c r="F48" s="4"/>
      <c r="G48" s="79">
        <v>4.54</v>
      </c>
      <c r="H48" s="4"/>
      <c r="I48" s="16">
        <v>2.91</v>
      </c>
      <c r="J48" s="4"/>
      <c r="K48" s="16">
        <v>815.99</v>
      </c>
      <c r="L48" s="4"/>
      <c r="M48" s="16">
        <v>1033.47</v>
      </c>
      <c r="N48" s="4"/>
      <c r="O48" s="16">
        <v>936.55</v>
      </c>
      <c r="P48" s="4"/>
      <c r="Q48" s="16">
        <v>319.16000000000003</v>
      </c>
      <c r="R48" s="4"/>
      <c r="S48" s="16">
        <v>226.22</v>
      </c>
      <c r="T48" s="4"/>
      <c r="U48" s="16">
        <v>171.61</v>
      </c>
      <c r="V48" s="4"/>
      <c r="W48" s="16">
        <v>3.34</v>
      </c>
      <c r="X48" s="4"/>
      <c r="Y48" s="16">
        <v>3.49</v>
      </c>
      <c r="Z48" s="4"/>
      <c r="AA48" s="4"/>
      <c r="AB48" s="42">
        <f t="shared" si="1"/>
        <v>3521.21</v>
      </c>
    </row>
    <row r="49" spans="1:28" ht="16.5" thickBot="1">
      <c r="A49" s="1" t="s">
        <v>37</v>
      </c>
      <c r="B49" s="36" t="s">
        <v>129</v>
      </c>
      <c r="C49" s="79">
        <v>9.15</v>
      </c>
      <c r="D49" s="4"/>
      <c r="E49" s="79">
        <v>3.23</v>
      </c>
      <c r="F49" s="4"/>
      <c r="G49" s="79">
        <v>14.2</v>
      </c>
      <c r="H49" s="4"/>
      <c r="I49" s="16">
        <v>9.24</v>
      </c>
      <c r="J49" s="4"/>
      <c r="K49" s="16">
        <v>111.47</v>
      </c>
      <c r="L49" s="4"/>
      <c r="M49" s="16">
        <v>246.38</v>
      </c>
      <c r="N49" s="4"/>
      <c r="O49" s="16">
        <v>328.59</v>
      </c>
      <c r="P49" s="16">
        <v>-246.38</v>
      </c>
      <c r="Q49" s="16">
        <v>344.51</v>
      </c>
      <c r="R49" s="16">
        <v>-328.59</v>
      </c>
      <c r="S49" s="16">
        <v>370.63</v>
      </c>
      <c r="T49" s="16">
        <v>-433.51</v>
      </c>
      <c r="U49" s="16">
        <v>240.15</v>
      </c>
      <c r="V49" s="4"/>
      <c r="W49" s="16">
        <v>7.8</v>
      </c>
      <c r="X49" s="4"/>
      <c r="Y49" s="16">
        <v>10.63</v>
      </c>
      <c r="Z49" s="16">
        <f>-284.63-500</f>
        <v>-784.63</v>
      </c>
      <c r="AA49" s="16"/>
      <c r="AB49" s="42">
        <f t="shared" si="1"/>
        <v>-97.13</v>
      </c>
    </row>
    <row r="50" spans="1:28" ht="16.5" thickBot="1">
      <c r="A50" s="1" t="s">
        <v>38</v>
      </c>
      <c r="B50" s="36" t="s">
        <v>130</v>
      </c>
      <c r="C50" s="79">
        <v>7.0000000000000007E-2</v>
      </c>
      <c r="D50" s="4"/>
      <c r="E50" s="79">
        <v>0.05</v>
      </c>
      <c r="F50" s="4"/>
      <c r="G50" s="79">
        <v>0.12</v>
      </c>
      <c r="H50" s="4"/>
      <c r="I50" s="16">
        <v>0.11</v>
      </c>
      <c r="J50" s="4"/>
      <c r="K50" s="16">
        <v>15.96</v>
      </c>
      <c r="L50" s="4"/>
      <c r="M50" s="16">
        <v>144.96</v>
      </c>
      <c r="N50" s="4"/>
      <c r="O50" s="16">
        <v>180.79</v>
      </c>
      <c r="P50" s="16">
        <f>-20-144.96</f>
        <v>-164.96</v>
      </c>
      <c r="Q50" s="16">
        <v>183.8</v>
      </c>
      <c r="R50" s="4"/>
      <c r="S50" s="16">
        <v>57.49</v>
      </c>
      <c r="T50" s="4"/>
      <c r="U50" s="16" t="s">
        <v>202</v>
      </c>
      <c r="V50" s="16">
        <v>-190</v>
      </c>
      <c r="W50" s="16" t="s">
        <v>202</v>
      </c>
      <c r="X50" s="4"/>
      <c r="Y50" s="16" t="s">
        <v>202</v>
      </c>
      <c r="Z50" s="4"/>
      <c r="AA50" s="4"/>
      <c r="AB50" s="42">
        <f t="shared" si="1"/>
        <v>228.39</v>
      </c>
    </row>
    <row r="51" spans="1:28" ht="16.5" thickBot="1">
      <c r="A51" s="1" t="s">
        <v>39</v>
      </c>
      <c r="B51" s="36" t="s">
        <v>131</v>
      </c>
      <c r="C51" s="79">
        <v>2.39</v>
      </c>
      <c r="D51" s="4"/>
      <c r="E51" s="79">
        <v>0.85</v>
      </c>
      <c r="F51" s="4"/>
      <c r="G51" s="79">
        <v>3.71</v>
      </c>
      <c r="H51" s="4"/>
      <c r="I51" s="16">
        <v>2.36</v>
      </c>
      <c r="J51" s="4"/>
      <c r="K51" s="16">
        <v>2.4900000000000002</v>
      </c>
      <c r="L51" s="4"/>
      <c r="M51" s="16">
        <v>2.5299999999999998</v>
      </c>
      <c r="N51" s="4"/>
      <c r="O51" s="16">
        <v>2.79</v>
      </c>
      <c r="P51" s="4"/>
      <c r="Q51" s="16">
        <v>2.89</v>
      </c>
      <c r="R51" s="4"/>
      <c r="S51" s="16">
        <v>3.08</v>
      </c>
      <c r="T51" s="4"/>
      <c r="U51" s="16">
        <v>2.89</v>
      </c>
      <c r="V51" s="4"/>
      <c r="W51" s="16">
        <v>2.85</v>
      </c>
      <c r="X51" s="4"/>
      <c r="Y51" s="16">
        <v>3.11</v>
      </c>
      <c r="Z51" s="4"/>
      <c r="AA51" s="4"/>
      <c r="AB51" s="42">
        <f t="shared" si="1"/>
        <v>31.940000000000005</v>
      </c>
    </row>
    <row r="52" spans="1:28" ht="16.5" thickBot="1">
      <c r="A52" s="1" t="s">
        <v>40</v>
      </c>
      <c r="B52" s="36" t="s">
        <v>132</v>
      </c>
      <c r="C52" s="79">
        <v>3.3</v>
      </c>
      <c r="D52" s="4"/>
      <c r="E52" s="79">
        <v>1.1499999999999999</v>
      </c>
      <c r="F52" s="4"/>
      <c r="G52" s="79">
        <v>5.1100000000000003</v>
      </c>
      <c r="H52" s="4"/>
      <c r="I52" s="16">
        <v>3.37</v>
      </c>
      <c r="J52" s="4"/>
      <c r="K52" s="16">
        <v>296.69</v>
      </c>
      <c r="L52" s="4"/>
      <c r="M52" s="16">
        <v>2063.19</v>
      </c>
      <c r="N52" s="4"/>
      <c r="O52" s="16">
        <v>2277.6</v>
      </c>
      <c r="P52" s="4"/>
      <c r="Q52" s="16">
        <v>1605.98</v>
      </c>
      <c r="R52" s="16">
        <v>-2063.19</v>
      </c>
      <c r="S52" s="16">
        <v>15.82</v>
      </c>
      <c r="T52" s="4"/>
      <c r="U52" s="16">
        <v>14.11</v>
      </c>
      <c r="V52" s="16">
        <f>-360-1605.98-2777.6</f>
        <v>-4743.58</v>
      </c>
      <c r="W52" s="16">
        <v>3.49</v>
      </c>
      <c r="X52" s="4"/>
      <c r="Y52" s="16">
        <v>2.52</v>
      </c>
      <c r="Z52" s="4"/>
      <c r="AA52" s="4"/>
      <c r="AB52" s="42">
        <f t="shared" si="1"/>
        <v>-514.44000000000165</v>
      </c>
    </row>
    <row r="53" spans="1:28" ht="16.5" thickBot="1">
      <c r="A53" s="1" t="s">
        <v>41</v>
      </c>
      <c r="B53" s="36" t="s">
        <v>133</v>
      </c>
      <c r="C53" s="41" t="s">
        <v>202</v>
      </c>
      <c r="D53" s="4"/>
      <c r="E53" s="41" t="s">
        <v>202</v>
      </c>
      <c r="F53" s="4"/>
      <c r="G53" s="41" t="s">
        <v>202</v>
      </c>
      <c r="H53" s="4"/>
      <c r="I53" s="16" t="s">
        <v>202</v>
      </c>
      <c r="J53" s="4"/>
      <c r="K53" s="16">
        <v>631.74</v>
      </c>
      <c r="L53" s="4"/>
      <c r="M53" s="16">
        <v>637.04999999999995</v>
      </c>
      <c r="N53" s="16">
        <f>-1009.05-631.74</f>
        <v>-1640.79</v>
      </c>
      <c r="O53" s="16">
        <v>790.65</v>
      </c>
      <c r="P53" s="4"/>
      <c r="Q53" s="16">
        <v>823.98</v>
      </c>
      <c r="R53" s="4"/>
      <c r="S53" s="16">
        <v>1368.39</v>
      </c>
      <c r="T53" s="4"/>
      <c r="U53" s="16">
        <v>2795.57</v>
      </c>
      <c r="V53" s="16">
        <v>-3620.06</v>
      </c>
      <c r="W53" s="16">
        <v>1891.05</v>
      </c>
      <c r="X53" s="4"/>
      <c r="Y53" s="16">
        <v>235.77</v>
      </c>
      <c r="Z53" s="16">
        <v>-1891.15</v>
      </c>
      <c r="AA53" s="16"/>
      <c r="AB53" s="42">
        <f t="shared" si="1"/>
        <v>2022.1999999999998</v>
      </c>
    </row>
    <row r="54" spans="1:28" ht="16.5" thickBot="1">
      <c r="A54" s="1" t="s">
        <v>42</v>
      </c>
      <c r="B54" s="36" t="s">
        <v>134</v>
      </c>
      <c r="C54" s="79">
        <v>3.05</v>
      </c>
      <c r="D54" s="4"/>
      <c r="E54" s="79">
        <v>1.1100000000000001</v>
      </c>
      <c r="F54" s="4"/>
      <c r="G54" s="79">
        <v>4.74</v>
      </c>
      <c r="H54" s="4"/>
      <c r="I54" s="16">
        <v>3.13</v>
      </c>
      <c r="J54" s="4"/>
      <c r="K54" s="16">
        <v>2042.51</v>
      </c>
      <c r="L54" s="16">
        <v>-3654.87</v>
      </c>
      <c r="M54" s="16">
        <v>2315.02</v>
      </c>
      <c r="N54" s="4"/>
      <c r="O54" s="16">
        <v>2125.0700000000002</v>
      </c>
      <c r="P54" s="4"/>
      <c r="Q54" s="16">
        <v>2210.41</v>
      </c>
      <c r="R54" s="4"/>
      <c r="S54" s="16">
        <v>1168.5899999999999</v>
      </c>
      <c r="T54" s="4"/>
      <c r="U54" s="16">
        <v>3.31</v>
      </c>
      <c r="V54" s="16">
        <v>-7819.09</v>
      </c>
      <c r="W54" s="16">
        <v>3.46</v>
      </c>
      <c r="X54" s="4"/>
      <c r="Y54" s="16">
        <v>3.68</v>
      </c>
      <c r="Z54" s="4"/>
      <c r="AA54" s="4"/>
      <c r="AB54" s="42">
        <f t="shared" si="1"/>
        <v>-1589.8799999999994</v>
      </c>
    </row>
    <row r="55" spans="1:28" ht="16.5" thickBot="1">
      <c r="A55" s="1" t="s">
        <v>43</v>
      </c>
      <c r="B55" s="36" t="s">
        <v>135</v>
      </c>
      <c r="C55" s="41" t="s">
        <v>202</v>
      </c>
      <c r="D55" s="4"/>
      <c r="E55" s="41" t="s">
        <v>202</v>
      </c>
      <c r="F55" s="4"/>
      <c r="G55" s="41" t="s">
        <v>202</v>
      </c>
      <c r="H55" s="4"/>
      <c r="I55" s="16" t="s">
        <v>202</v>
      </c>
      <c r="J55" s="4"/>
      <c r="K55" s="16">
        <v>1.55</v>
      </c>
      <c r="L55" s="4"/>
      <c r="M55" s="16">
        <v>173.17</v>
      </c>
      <c r="N55" s="4"/>
      <c r="O55" s="16">
        <v>250.79</v>
      </c>
      <c r="P55" s="4"/>
      <c r="Q55" s="16">
        <v>271.63</v>
      </c>
      <c r="R55" s="4"/>
      <c r="S55" s="16">
        <v>202.67</v>
      </c>
      <c r="T55" s="16">
        <v>-1182.1400000000001</v>
      </c>
      <c r="U55" s="16">
        <v>0.55000000000000004</v>
      </c>
      <c r="V55" s="4"/>
      <c r="W55" s="16">
        <v>0.6</v>
      </c>
      <c r="X55" s="4"/>
      <c r="Y55" s="16">
        <v>0.71</v>
      </c>
      <c r="Z55" s="4"/>
      <c r="AA55" s="4"/>
      <c r="AB55" s="42">
        <f t="shared" si="1"/>
        <v>-280.47000000000014</v>
      </c>
    </row>
    <row r="56" spans="1:28" ht="16.5" thickBot="1">
      <c r="A56" s="48" t="s">
        <v>44</v>
      </c>
      <c r="B56" s="47" t="s">
        <v>136</v>
      </c>
      <c r="C56" s="80">
        <v>2.23</v>
      </c>
      <c r="D56" s="45"/>
      <c r="E56" s="80">
        <v>58.39</v>
      </c>
      <c r="F56" s="45"/>
      <c r="G56" s="80">
        <v>94.95</v>
      </c>
      <c r="H56" s="45"/>
      <c r="I56" s="46">
        <v>6.17</v>
      </c>
      <c r="J56" s="45"/>
      <c r="K56" s="46">
        <v>274.99</v>
      </c>
      <c r="L56" s="46">
        <v>-220.07</v>
      </c>
      <c r="M56" s="46">
        <v>383.51</v>
      </c>
      <c r="N56" s="45"/>
      <c r="O56" s="46">
        <v>538.27</v>
      </c>
      <c r="P56" s="46">
        <v>-383.51</v>
      </c>
      <c r="Q56" s="46">
        <v>648.4</v>
      </c>
      <c r="R56" s="46">
        <v>-538.27</v>
      </c>
      <c r="S56" s="46">
        <v>654.01</v>
      </c>
      <c r="T56" s="46">
        <v>-648.4</v>
      </c>
      <c r="U56" s="46">
        <v>843.59</v>
      </c>
      <c r="V56" s="45"/>
      <c r="W56" s="46">
        <v>75.5</v>
      </c>
      <c r="X56" s="46">
        <v>-1497.6</v>
      </c>
      <c r="Y56" s="46">
        <v>160.24</v>
      </c>
      <c r="Z56" s="46">
        <v>-75.5</v>
      </c>
      <c r="AA56" s="46"/>
      <c r="AB56" s="42">
        <f t="shared" si="1"/>
        <v>376.90000000000009</v>
      </c>
    </row>
    <row r="57" spans="1:28" ht="16.5" thickBot="1">
      <c r="A57" s="1" t="s">
        <v>45</v>
      </c>
      <c r="B57" s="36" t="s">
        <v>137</v>
      </c>
      <c r="C57" s="41" t="s">
        <v>202</v>
      </c>
      <c r="D57" s="4"/>
      <c r="E57" s="41" t="s">
        <v>202</v>
      </c>
      <c r="F57" s="4"/>
      <c r="G57" s="41" t="s">
        <v>202</v>
      </c>
      <c r="H57" s="4"/>
      <c r="I57" s="16">
        <v>0.32</v>
      </c>
      <c r="J57" s="4"/>
      <c r="K57" s="16">
        <v>1024.78</v>
      </c>
      <c r="L57" s="4"/>
      <c r="M57" s="16">
        <v>853.66</v>
      </c>
      <c r="N57" s="4"/>
      <c r="O57" s="16">
        <v>1569.4</v>
      </c>
      <c r="P57" s="16">
        <v>-1878.76</v>
      </c>
      <c r="Q57" s="16">
        <v>1233.4000000000001</v>
      </c>
      <c r="R57" s="4"/>
      <c r="S57" s="16">
        <v>336.25</v>
      </c>
      <c r="T57" s="16">
        <f>-1233.4-1569.4</f>
        <v>-2802.8</v>
      </c>
      <c r="U57" s="16">
        <v>79.91</v>
      </c>
      <c r="V57" s="16">
        <f>-336.25-79.91</f>
        <v>-416.15999999999997</v>
      </c>
      <c r="W57" s="16">
        <v>2.0299999999999998</v>
      </c>
      <c r="X57" s="4"/>
      <c r="Y57" s="16" t="s">
        <v>202</v>
      </c>
      <c r="Z57" s="4"/>
      <c r="AA57" s="4"/>
      <c r="AB57" s="42">
        <f t="shared" si="1"/>
        <v>2.0299999999999998</v>
      </c>
    </row>
    <row r="58" spans="1:28" ht="16.5" thickBot="1">
      <c r="A58" s="1" t="s">
        <v>46</v>
      </c>
      <c r="B58" s="36" t="s">
        <v>138</v>
      </c>
      <c r="C58" s="41" t="s">
        <v>202</v>
      </c>
      <c r="D58" s="4"/>
      <c r="E58" s="41" t="s">
        <v>202</v>
      </c>
      <c r="F58" s="4"/>
      <c r="G58" s="41" t="s">
        <v>202</v>
      </c>
      <c r="H58" s="4"/>
      <c r="I58" s="16" t="s">
        <v>202</v>
      </c>
      <c r="J58" s="4"/>
      <c r="K58" s="16" t="s">
        <v>202</v>
      </c>
      <c r="L58" s="4"/>
      <c r="M58" s="16">
        <v>316.64999999999998</v>
      </c>
      <c r="N58" s="4"/>
      <c r="O58" s="16">
        <v>636.61</v>
      </c>
      <c r="P58" s="16">
        <v>-320</v>
      </c>
      <c r="Q58" s="16">
        <v>571.16</v>
      </c>
      <c r="R58" s="16"/>
      <c r="S58" s="16">
        <v>377.17</v>
      </c>
      <c r="T58" s="16">
        <v>-1207.77</v>
      </c>
      <c r="U58" s="16" t="s">
        <v>202</v>
      </c>
      <c r="V58" s="4"/>
      <c r="W58" s="16" t="s">
        <v>202</v>
      </c>
      <c r="X58" s="16">
        <v>-372</v>
      </c>
      <c r="Y58" s="16" t="s">
        <v>202</v>
      </c>
      <c r="Z58" s="4"/>
      <c r="AA58" s="4"/>
      <c r="AB58" s="42">
        <f t="shared" si="1"/>
        <v>1.8200000000001637</v>
      </c>
    </row>
    <row r="59" spans="1:28" ht="16.5" thickBot="1">
      <c r="A59" s="1" t="s">
        <v>47</v>
      </c>
      <c r="B59" s="36" t="s">
        <v>139</v>
      </c>
      <c r="C59" s="79">
        <v>29.67</v>
      </c>
      <c r="D59" s="4"/>
      <c r="E59" s="79">
        <v>8.5399999999999991</v>
      </c>
      <c r="F59" s="4"/>
      <c r="G59" s="79">
        <v>42.27</v>
      </c>
      <c r="H59" s="4"/>
      <c r="I59" s="16">
        <v>24.73</v>
      </c>
      <c r="J59" s="4"/>
      <c r="K59" s="16">
        <v>120.51</v>
      </c>
      <c r="L59" s="4"/>
      <c r="M59" s="16">
        <v>247.02</v>
      </c>
      <c r="N59" s="16">
        <f>-105.21-2206.92-150</f>
        <v>-2462.13</v>
      </c>
      <c r="O59" s="16">
        <v>680.2</v>
      </c>
      <c r="P59" s="4"/>
      <c r="Q59" s="16">
        <v>878.27</v>
      </c>
      <c r="R59" s="16">
        <v>-680.2</v>
      </c>
      <c r="S59" s="16">
        <v>321.86</v>
      </c>
      <c r="T59" s="4"/>
      <c r="U59" s="16">
        <v>653.30999999999995</v>
      </c>
      <c r="V59" s="4"/>
      <c r="W59" s="16">
        <v>426.1</v>
      </c>
      <c r="X59" s="4"/>
      <c r="Y59" s="16">
        <v>157.11000000000001</v>
      </c>
      <c r="Z59" s="4"/>
      <c r="AA59" s="4"/>
      <c r="AB59" s="42">
        <f t="shared" si="1"/>
        <v>447.25999999999988</v>
      </c>
    </row>
    <row r="60" spans="1:28" ht="16.5" thickBot="1">
      <c r="A60" s="1" t="s">
        <v>48</v>
      </c>
      <c r="B60" s="36" t="s">
        <v>140</v>
      </c>
      <c r="C60" s="79">
        <v>3.23</v>
      </c>
      <c r="D60" s="4"/>
      <c r="E60" s="79">
        <v>1.1499999999999999</v>
      </c>
      <c r="F60" s="4"/>
      <c r="G60" s="79">
        <v>4.96</v>
      </c>
      <c r="H60" s="4"/>
      <c r="I60" s="16">
        <v>3.23</v>
      </c>
      <c r="J60" s="4"/>
      <c r="K60" s="16">
        <v>209.06</v>
      </c>
      <c r="L60" s="4"/>
      <c r="M60" s="16">
        <v>688.26</v>
      </c>
      <c r="N60" s="4"/>
      <c r="O60" s="16">
        <v>737.67</v>
      </c>
      <c r="P60" s="16">
        <v>-688.26</v>
      </c>
      <c r="Q60" s="16">
        <v>932.14</v>
      </c>
      <c r="R60" s="16">
        <f>-737.67-932.14</f>
        <v>-1669.81</v>
      </c>
      <c r="S60" s="16">
        <v>1961.87</v>
      </c>
      <c r="T60" s="4"/>
      <c r="U60" s="16">
        <v>1070.69</v>
      </c>
      <c r="V60" s="4"/>
      <c r="W60" s="16">
        <v>4.16</v>
      </c>
      <c r="X60" s="4"/>
      <c r="Y60" s="16">
        <v>5.27</v>
      </c>
      <c r="Z60" s="4"/>
      <c r="AA60" s="4"/>
      <c r="AB60" s="42">
        <f t="shared" si="1"/>
        <v>3263.62</v>
      </c>
    </row>
    <row r="61" spans="1:28" ht="16.5" thickBot="1">
      <c r="A61" s="1" t="s">
        <v>49</v>
      </c>
      <c r="B61" s="36" t="s">
        <v>141</v>
      </c>
      <c r="C61" s="41" t="s">
        <v>202</v>
      </c>
      <c r="D61" s="4"/>
      <c r="E61" s="41" t="s">
        <v>202</v>
      </c>
      <c r="F61" s="4"/>
      <c r="G61" s="41" t="s">
        <v>202</v>
      </c>
      <c r="H61" s="4"/>
      <c r="I61" s="16" t="s">
        <v>202</v>
      </c>
      <c r="J61" s="4"/>
      <c r="K61" s="16">
        <v>2.2599999999999998</v>
      </c>
      <c r="L61" s="4"/>
      <c r="M61" s="16">
        <v>2.1</v>
      </c>
      <c r="N61" s="4"/>
      <c r="O61" s="16">
        <v>6.99</v>
      </c>
      <c r="P61" s="4"/>
      <c r="Q61" s="16">
        <v>14.11</v>
      </c>
      <c r="R61" s="4"/>
      <c r="S61" s="16">
        <v>33.49</v>
      </c>
      <c r="T61" s="4"/>
      <c r="U61" s="16">
        <v>18.03</v>
      </c>
      <c r="V61" s="4"/>
      <c r="W61" s="16">
        <v>13.75</v>
      </c>
      <c r="X61" s="4"/>
      <c r="Y61" s="16" t="s">
        <v>202</v>
      </c>
      <c r="Z61" s="16">
        <v>-100</v>
      </c>
      <c r="AA61" s="16"/>
      <c r="AB61" s="42">
        <f t="shared" si="1"/>
        <v>-9.269999999999996</v>
      </c>
    </row>
    <row r="62" spans="1:28" ht="16.5" thickBot="1">
      <c r="A62" s="1" t="s">
        <v>50</v>
      </c>
      <c r="B62" s="36" t="s">
        <v>142</v>
      </c>
      <c r="C62" s="79">
        <v>8.36</v>
      </c>
      <c r="D62" s="4"/>
      <c r="E62" s="79">
        <v>2.97</v>
      </c>
      <c r="F62" s="4"/>
      <c r="G62" s="79">
        <v>12.93</v>
      </c>
      <c r="H62" s="4"/>
      <c r="I62" s="16">
        <v>8.44</v>
      </c>
      <c r="J62" s="4"/>
      <c r="K62" s="16">
        <v>415.91</v>
      </c>
      <c r="L62" s="4"/>
      <c r="M62" s="16">
        <v>394.29</v>
      </c>
      <c r="N62" s="16">
        <v>-467.06</v>
      </c>
      <c r="O62" s="16">
        <v>630.29</v>
      </c>
      <c r="P62" s="16">
        <v>-394.29</v>
      </c>
      <c r="Q62" s="16">
        <v>560.39</v>
      </c>
      <c r="R62" s="16">
        <v>-630.29</v>
      </c>
      <c r="S62" s="16">
        <v>444.4</v>
      </c>
      <c r="T62" s="16">
        <v>-560.39</v>
      </c>
      <c r="U62" s="16">
        <v>30.98</v>
      </c>
      <c r="V62" s="16">
        <v>-444.4</v>
      </c>
      <c r="W62" s="16">
        <v>8.9700000000000006</v>
      </c>
      <c r="X62" s="4"/>
      <c r="Y62" s="16">
        <v>10.01</v>
      </c>
      <c r="Z62" s="4"/>
      <c r="AA62" s="4"/>
      <c r="AB62" s="42">
        <f t="shared" si="1"/>
        <v>31.510000000000083</v>
      </c>
    </row>
    <row r="63" spans="1:28" ht="16.5" thickBot="1">
      <c r="A63" s="1" t="s">
        <v>51</v>
      </c>
      <c r="B63" s="36" t="s">
        <v>143</v>
      </c>
      <c r="C63" s="79">
        <v>3.49</v>
      </c>
      <c r="D63" s="4"/>
      <c r="E63" s="79">
        <v>1.24</v>
      </c>
      <c r="F63" s="4"/>
      <c r="G63" s="79">
        <v>5.25</v>
      </c>
      <c r="H63" s="4"/>
      <c r="I63" s="16">
        <v>3.34</v>
      </c>
      <c r="J63" s="4"/>
      <c r="K63" s="16">
        <v>40.11</v>
      </c>
      <c r="L63" s="4"/>
      <c r="M63" s="16">
        <v>87.3</v>
      </c>
      <c r="N63" s="4"/>
      <c r="O63" s="16">
        <v>173.78</v>
      </c>
      <c r="P63" s="4"/>
      <c r="Q63" s="16">
        <v>145.01</v>
      </c>
      <c r="R63" s="16">
        <v>-388.19</v>
      </c>
      <c r="S63" s="16" t="s">
        <v>202</v>
      </c>
      <c r="T63" s="4"/>
      <c r="U63" s="16" t="s">
        <v>202</v>
      </c>
      <c r="V63" s="4"/>
      <c r="W63" s="16" t="s">
        <v>202</v>
      </c>
      <c r="X63" s="4"/>
      <c r="Y63" s="16" t="s">
        <v>202</v>
      </c>
      <c r="Z63" s="4"/>
      <c r="AA63" s="4"/>
      <c r="AB63" s="42">
        <f t="shared" si="1"/>
        <v>71.329999999999984</v>
      </c>
    </row>
    <row r="64" spans="1:28" ht="16.5" thickBot="1">
      <c r="A64" s="48" t="s">
        <v>52</v>
      </c>
      <c r="B64" s="47" t="s">
        <v>144</v>
      </c>
      <c r="C64" s="57" t="s">
        <v>202</v>
      </c>
      <c r="D64" s="45"/>
      <c r="E64" s="57" t="s">
        <v>202</v>
      </c>
      <c r="F64" s="45"/>
      <c r="G64" s="57" t="s">
        <v>202</v>
      </c>
      <c r="H64" s="45"/>
      <c r="I64" s="46" t="s">
        <v>202</v>
      </c>
      <c r="J64" s="45"/>
      <c r="K64" s="46">
        <v>78.81</v>
      </c>
      <c r="L64" s="45"/>
      <c r="M64" s="46">
        <v>90.89</v>
      </c>
      <c r="N64" s="46">
        <v>-100</v>
      </c>
      <c r="O64" s="46">
        <v>205.45</v>
      </c>
      <c r="P64" s="45"/>
      <c r="Q64" s="46">
        <v>170.41</v>
      </c>
      <c r="R64" s="45"/>
      <c r="S64" s="46">
        <v>131.38999999999999</v>
      </c>
      <c r="T64" s="46">
        <v>-516.75</v>
      </c>
      <c r="U64" s="46">
        <v>79.069999999999993</v>
      </c>
      <c r="V64" s="45"/>
      <c r="W64" s="46" t="s">
        <v>202</v>
      </c>
      <c r="X64" s="45"/>
      <c r="Y64" s="46" t="s">
        <v>202</v>
      </c>
      <c r="Z64" s="45"/>
      <c r="AA64" s="45"/>
      <c r="AB64" s="42">
        <f t="shared" si="1"/>
        <v>139.26999999999992</v>
      </c>
    </row>
    <row r="65" spans="1:28" ht="16.5" thickBot="1">
      <c r="A65" s="1" t="s">
        <v>53</v>
      </c>
      <c r="B65" s="36" t="s">
        <v>204</v>
      </c>
      <c r="C65" s="41" t="s">
        <v>202</v>
      </c>
      <c r="D65" s="4"/>
      <c r="E65" s="41" t="s">
        <v>202</v>
      </c>
      <c r="F65" s="4"/>
      <c r="G65" s="41" t="s">
        <v>202</v>
      </c>
      <c r="H65" s="4"/>
      <c r="I65" s="16" t="s">
        <v>202</v>
      </c>
      <c r="J65" s="4"/>
      <c r="K65" s="16" t="s">
        <v>202</v>
      </c>
      <c r="L65" s="4"/>
      <c r="M65" s="16" t="s">
        <v>202</v>
      </c>
      <c r="N65" s="4"/>
      <c r="O65" s="16">
        <v>2.84</v>
      </c>
      <c r="P65" s="4"/>
      <c r="Q65" s="16">
        <v>67.900000000000006</v>
      </c>
      <c r="R65" s="4"/>
      <c r="S65" s="16">
        <v>51.16</v>
      </c>
      <c r="T65" s="4"/>
      <c r="U65" s="16">
        <v>209.81</v>
      </c>
      <c r="V65" s="4"/>
      <c r="W65" s="16">
        <v>1482.14</v>
      </c>
      <c r="X65" s="4"/>
      <c r="Y65" s="16">
        <v>5.84</v>
      </c>
      <c r="Z65" s="4"/>
      <c r="AA65" s="4"/>
      <c r="AB65" s="42">
        <f t="shared" si="1"/>
        <v>1819.69</v>
      </c>
    </row>
    <row r="66" spans="1:28" ht="16.5" thickBot="1">
      <c r="A66" s="12" t="s">
        <v>187</v>
      </c>
      <c r="B66" s="36" t="s">
        <v>145</v>
      </c>
      <c r="C66" s="79">
        <v>2.65</v>
      </c>
      <c r="D66" s="4"/>
      <c r="E66" s="79">
        <v>0.91</v>
      </c>
      <c r="F66" s="4"/>
      <c r="G66" s="79">
        <v>4.12</v>
      </c>
      <c r="H66" s="4"/>
      <c r="I66" s="16">
        <v>2.65</v>
      </c>
      <c r="J66" s="4"/>
      <c r="K66" s="16">
        <v>5.17</v>
      </c>
      <c r="L66" s="4"/>
      <c r="M66" s="16">
        <v>56.86</v>
      </c>
      <c r="N66" s="4"/>
      <c r="O66" s="16">
        <v>84.17</v>
      </c>
      <c r="P66" s="4"/>
      <c r="Q66" s="16">
        <v>48.32</v>
      </c>
      <c r="R66" s="4"/>
      <c r="S66" s="16">
        <v>4.5</v>
      </c>
      <c r="T66" s="4"/>
      <c r="U66" s="16">
        <v>6.25</v>
      </c>
      <c r="V66" s="16">
        <v>-400</v>
      </c>
      <c r="W66" s="16">
        <v>3.83</v>
      </c>
      <c r="X66" s="4"/>
      <c r="Y66" s="16">
        <v>3.18</v>
      </c>
      <c r="Z66" s="4"/>
      <c r="AA66" s="4"/>
      <c r="AB66" s="42">
        <f t="shared" si="1"/>
        <v>-177.39</v>
      </c>
    </row>
    <row r="67" spans="1:28" ht="16.5" thickBot="1">
      <c r="A67" s="12" t="s">
        <v>54</v>
      </c>
      <c r="B67" s="36" t="s">
        <v>146</v>
      </c>
      <c r="C67" s="79">
        <v>3.08</v>
      </c>
      <c r="D67" s="4"/>
      <c r="E67" s="79">
        <v>1.07</v>
      </c>
      <c r="F67" s="4"/>
      <c r="G67" s="79">
        <v>4.62</v>
      </c>
      <c r="H67" s="4"/>
      <c r="I67" s="16">
        <v>2.86</v>
      </c>
      <c r="J67" s="4"/>
      <c r="K67" s="16">
        <v>232.97</v>
      </c>
      <c r="L67" s="4"/>
      <c r="M67" s="16">
        <v>468.27</v>
      </c>
      <c r="N67" s="4"/>
      <c r="O67" s="16">
        <v>144.22</v>
      </c>
      <c r="P67" s="4"/>
      <c r="Q67" s="16">
        <v>268.14999999999998</v>
      </c>
      <c r="R67" s="4"/>
      <c r="S67" s="16">
        <v>3.11</v>
      </c>
      <c r="T67" s="4"/>
      <c r="U67" s="16">
        <v>3.16</v>
      </c>
      <c r="V67" s="4"/>
      <c r="W67" s="16">
        <v>3.51</v>
      </c>
      <c r="X67" s="4"/>
      <c r="Y67" s="16">
        <v>3.51</v>
      </c>
      <c r="Z67" s="4"/>
      <c r="AA67" s="4"/>
      <c r="AB67" s="42">
        <f t="shared" si="1"/>
        <v>1138.53</v>
      </c>
    </row>
    <row r="68" spans="1:28" ht="16.5" thickBot="1">
      <c r="A68" s="12" t="s">
        <v>55</v>
      </c>
      <c r="B68" s="36" t="s">
        <v>147</v>
      </c>
      <c r="C68" s="41" t="s">
        <v>202</v>
      </c>
      <c r="D68" s="4"/>
      <c r="E68" s="41" t="s">
        <v>202</v>
      </c>
      <c r="F68" s="4"/>
      <c r="G68" s="41" t="s">
        <v>202</v>
      </c>
      <c r="H68" s="4"/>
      <c r="I68" s="16" t="s">
        <v>202</v>
      </c>
      <c r="J68" s="4"/>
      <c r="K68" s="16">
        <v>1.22</v>
      </c>
      <c r="L68" s="4"/>
      <c r="M68" s="16">
        <v>243.46</v>
      </c>
      <c r="N68" s="16">
        <v>-191</v>
      </c>
      <c r="O68" s="16">
        <v>362.64</v>
      </c>
      <c r="P68" s="16"/>
      <c r="Q68" s="16">
        <v>58.94</v>
      </c>
      <c r="R68" s="16">
        <v>-597</v>
      </c>
      <c r="S68" s="16">
        <v>5.49</v>
      </c>
      <c r="T68" s="4"/>
      <c r="U68" s="16">
        <v>2.2999999999999998</v>
      </c>
      <c r="V68" s="4"/>
      <c r="W68" s="16">
        <v>0.88</v>
      </c>
      <c r="X68" s="4"/>
      <c r="Y68" s="16">
        <v>0.83</v>
      </c>
      <c r="Z68" s="4"/>
      <c r="AA68" s="4"/>
      <c r="AB68" s="42">
        <f t="shared" si="1"/>
        <v>-112.24000000000002</v>
      </c>
    </row>
    <row r="69" spans="1:28" ht="16.5" thickBot="1">
      <c r="A69" s="12" t="s">
        <v>56</v>
      </c>
      <c r="B69" s="36" t="s">
        <v>148</v>
      </c>
      <c r="C69" s="41" t="s">
        <v>202</v>
      </c>
      <c r="D69" s="4"/>
      <c r="E69" s="41" t="s">
        <v>202</v>
      </c>
      <c r="F69" s="4"/>
      <c r="G69" s="41" t="s">
        <v>202</v>
      </c>
      <c r="H69" s="4"/>
      <c r="I69" s="16" t="s">
        <v>202</v>
      </c>
      <c r="J69" s="4"/>
      <c r="K69" s="16">
        <v>134.21</v>
      </c>
      <c r="L69" s="4"/>
      <c r="M69" s="16">
        <v>290.72000000000003</v>
      </c>
      <c r="N69" s="16">
        <v>-1000</v>
      </c>
      <c r="O69" s="16">
        <v>284.29000000000002</v>
      </c>
      <c r="P69" s="16">
        <v>-300</v>
      </c>
      <c r="Q69" s="16">
        <v>294.73</v>
      </c>
      <c r="R69" s="16"/>
      <c r="S69" s="16">
        <v>195.75</v>
      </c>
      <c r="T69" s="4"/>
      <c r="U69" s="16">
        <v>107.79</v>
      </c>
      <c r="V69" s="4"/>
      <c r="W69" s="16">
        <v>97.08</v>
      </c>
      <c r="X69" s="4"/>
      <c r="Y69" s="16">
        <v>173.97</v>
      </c>
      <c r="Z69" s="4"/>
      <c r="AA69" s="4"/>
      <c r="AB69" s="42">
        <f t="shared" si="1"/>
        <v>278.54000000000008</v>
      </c>
    </row>
    <row r="70" spans="1:28" ht="16.5" thickBot="1">
      <c r="A70" s="91" t="s">
        <v>57</v>
      </c>
      <c r="B70" s="90" t="s">
        <v>149</v>
      </c>
      <c r="C70" s="79">
        <v>3.3</v>
      </c>
      <c r="D70" s="4"/>
      <c r="E70" s="79">
        <v>1.1499999999999999</v>
      </c>
      <c r="F70" s="4"/>
      <c r="G70" s="79">
        <v>5.13</v>
      </c>
      <c r="H70" s="4"/>
      <c r="I70" s="16">
        <v>3.23</v>
      </c>
      <c r="J70" s="4"/>
      <c r="K70" s="16">
        <v>70.97</v>
      </c>
      <c r="L70" s="4"/>
      <c r="M70" s="16">
        <v>237.77</v>
      </c>
      <c r="N70" s="4"/>
      <c r="O70" s="16">
        <v>227.79</v>
      </c>
      <c r="P70" s="4"/>
      <c r="Q70" s="16">
        <v>267.41000000000003</v>
      </c>
      <c r="R70" s="4"/>
      <c r="S70" s="16">
        <v>58.09</v>
      </c>
      <c r="T70" s="4"/>
      <c r="U70" s="16">
        <v>45.6</v>
      </c>
      <c r="V70" s="16">
        <v>-1000</v>
      </c>
      <c r="W70" s="16">
        <v>78.77</v>
      </c>
      <c r="X70" s="4"/>
      <c r="Y70" s="16">
        <v>4.0599999999999996</v>
      </c>
      <c r="Z70" s="4"/>
      <c r="AA70" s="4"/>
      <c r="AB70" s="42">
        <f t="shared" si="1"/>
        <v>3.2700000000000502</v>
      </c>
    </row>
    <row r="71" spans="1:28" ht="16.5" thickBot="1">
      <c r="A71" s="91" t="s">
        <v>58</v>
      </c>
      <c r="B71" s="90" t="s">
        <v>150</v>
      </c>
      <c r="C71" s="79">
        <v>2.73</v>
      </c>
      <c r="D71" s="4"/>
      <c r="E71" s="79">
        <v>1</v>
      </c>
      <c r="F71" s="4"/>
      <c r="G71" s="79">
        <v>4.1500000000000004</v>
      </c>
      <c r="H71" s="4"/>
      <c r="I71" s="16">
        <v>2.58</v>
      </c>
      <c r="J71" s="4"/>
      <c r="K71" s="16">
        <v>35.97</v>
      </c>
      <c r="L71" s="4"/>
      <c r="M71" s="16">
        <v>195.54</v>
      </c>
      <c r="N71" s="4"/>
      <c r="O71" s="16">
        <v>206.48</v>
      </c>
      <c r="P71" s="4"/>
      <c r="Q71" s="16">
        <v>172.25</v>
      </c>
      <c r="R71" s="4"/>
      <c r="S71" s="16">
        <v>241.22</v>
      </c>
      <c r="T71" s="4"/>
      <c r="U71" s="16">
        <v>10.17</v>
      </c>
      <c r="V71" s="16">
        <v>-1100</v>
      </c>
      <c r="W71" s="16">
        <v>2.72</v>
      </c>
      <c r="X71" s="4"/>
      <c r="Y71" s="16">
        <v>2.89</v>
      </c>
      <c r="Z71" s="4"/>
      <c r="AA71" s="4"/>
      <c r="AB71" s="42">
        <f t="shared" si="1"/>
        <v>-222.29999999999998</v>
      </c>
    </row>
    <row r="72" spans="1:28" ht="16.5" thickBot="1">
      <c r="A72" s="1" t="s">
        <v>59</v>
      </c>
      <c r="B72" s="36" t="s">
        <v>151</v>
      </c>
      <c r="C72" s="79">
        <v>2.65</v>
      </c>
      <c r="D72" s="4"/>
      <c r="E72" s="79">
        <v>0.95</v>
      </c>
      <c r="F72" s="4"/>
      <c r="G72" s="79">
        <v>4.05</v>
      </c>
      <c r="H72" s="4"/>
      <c r="I72" s="16">
        <v>2.64</v>
      </c>
      <c r="J72" s="4"/>
      <c r="K72" s="16">
        <v>22.55</v>
      </c>
      <c r="L72" s="4"/>
      <c r="M72" s="16">
        <v>34.22</v>
      </c>
      <c r="N72" s="16">
        <v>-223.75</v>
      </c>
      <c r="O72" s="16">
        <v>35</v>
      </c>
      <c r="P72" s="4"/>
      <c r="Q72" s="16">
        <v>25.45</v>
      </c>
      <c r="R72" s="4"/>
      <c r="S72" s="16">
        <v>19.829999999999998</v>
      </c>
      <c r="T72" s="4"/>
      <c r="U72" s="16">
        <v>8.01</v>
      </c>
      <c r="V72" s="4"/>
      <c r="W72" s="16">
        <v>3.63</v>
      </c>
      <c r="X72" s="4"/>
      <c r="Y72" s="16">
        <v>3.17</v>
      </c>
      <c r="Z72" s="4"/>
      <c r="AA72" s="4"/>
      <c r="AB72" s="42">
        <f t="shared" si="1"/>
        <v>-61.599999999999994</v>
      </c>
    </row>
    <row r="73" spans="1:28" ht="16.5" thickBot="1">
      <c r="A73" s="1" t="s">
        <v>60</v>
      </c>
      <c r="B73" s="36" t="s">
        <v>152</v>
      </c>
      <c r="C73" s="41" t="s">
        <v>202</v>
      </c>
      <c r="D73" s="4"/>
      <c r="E73" s="41" t="s">
        <v>202</v>
      </c>
      <c r="F73" s="4"/>
      <c r="G73" s="41" t="s">
        <v>202</v>
      </c>
      <c r="H73" s="4"/>
      <c r="I73" s="16" t="s">
        <v>202</v>
      </c>
      <c r="J73" s="4"/>
      <c r="K73" s="16">
        <v>13.47</v>
      </c>
      <c r="L73" s="4"/>
      <c r="M73" s="16">
        <v>9.9499999999999993</v>
      </c>
      <c r="N73" s="4"/>
      <c r="O73" s="16">
        <v>9.02</v>
      </c>
      <c r="P73" s="16">
        <v>-500</v>
      </c>
      <c r="Q73" s="16">
        <v>22.31</v>
      </c>
      <c r="R73" s="4"/>
      <c r="S73" s="16">
        <v>3.77</v>
      </c>
      <c r="T73" s="16">
        <v>-500</v>
      </c>
      <c r="U73" s="16">
        <v>14.63</v>
      </c>
      <c r="V73" s="4"/>
      <c r="W73" s="16" t="s">
        <v>202</v>
      </c>
      <c r="X73" s="4"/>
      <c r="Y73" s="16" t="s">
        <v>202</v>
      </c>
      <c r="Z73" s="4"/>
      <c r="AA73" s="4"/>
      <c r="AB73" s="42">
        <f t="shared" si="1"/>
        <v>-926.85</v>
      </c>
    </row>
    <row r="74" spans="1:28" ht="16.5" thickBot="1">
      <c r="A74" s="1" t="s">
        <v>61</v>
      </c>
      <c r="B74" s="36" t="s">
        <v>153</v>
      </c>
      <c r="C74" s="79">
        <v>0.65</v>
      </c>
      <c r="D74" s="4"/>
      <c r="E74" s="79">
        <v>0.23</v>
      </c>
      <c r="F74" s="4"/>
      <c r="G74" s="79">
        <v>1.07</v>
      </c>
      <c r="H74" s="4"/>
      <c r="I74" s="16">
        <v>0.74</v>
      </c>
      <c r="J74" s="4"/>
      <c r="K74" s="16">
        <v>54.55</v>
      </c>
      <c r="L74" s="4"/>
      <c r="M74" s="16">
        <v>307.75</v>
      </c>
      <c r="N74" s="16">
        <v>-600</v>
      </c>
      <c r="O74" s="16">
        <v>361.04</v>
      </c>
      <c r="P74" s="4"/>
      <c r="Q74" s="16">
        <v>474.71</v>
      </c>
      <c r="R74" s="16">
        <v>-1000</v>
      </c>
      <c r="S74" s="16">
        <v>486.61</v>
      </c>
      <c r="T74" s="16">
        <v>-480</v>
      </c>
      <c r="U74" s="16">
        <v>1.57</v>
      </c>
      <c r="V74" s="16">
        <v>-500</v>
      </c>
      <c r="W74" s="16">
        <v>0.79</v>
      </c>
      <c r="X74" s="4"/>
      <c r="Y74" s="16">
        <v>0.98</v>
      </c>
      <c r="Z74" s="4"/>
      <c r="AA74" s="4"/>
      <c r="AB74" s="42">
        <f t="shared" si="1"/>
        <v>-889.31</v>
      </c>
    </row>
    <row r="75" spans="1:28" ht="16.5" thickBot="1">
      <c r="A75" s="1" t="s">
        <v>62</v>
      </c>
      <c r="B75" s="36" t="s">
        <v>154</v>
      </c>
      <c r="C75" s="41" t="s">
        <v>202</v>
      </c>
      <c r="D75" s="4"/>
      <c r="E75" s="41" t="s">
        <v>202</v>
      </c>
      <c r="F75" s="4"/>
      <c r="G75" s="41" t="s">
        <v>202</v>
      </c>
      <c r="H75" s="4"/>
      <c r="I75" s="16" t="s">
        <v>202</v>
      </c>
      <c r="J75" s="4"/>
      <c r="K75" s="16">
        <v>257.82</v>
      </c>
      <c r="L75" s="4"/>
      <c r="M75" s="16">
        <v>224.38</v>
      </c>
      <c r="N75" s="4"/>
      <c r="O75" s="16">
        <v>200.71</v>
      </c>
      <c r="P75" s="16">
        <v>-224.38</v>
      </c>
      <c r="Q75" s="16">
        <v>222.37</v>
      </c>
      <c r="R75" s="4"/>
      <c r="S75" s="16">
        <v>65.849999999999994</v>
      </c>
      <c r="T75" s="16">
        <v>-423.08</v>
      </c>
      <c r="U75" s="16">
        <v>0.09</v>
      </c>
      <c r="V75" s="4"/>
      <c r="W75" s="16" t="s">
        <v>202</v>
      </c>
      <c r="X75" s="4"/>
      <c r="Y75" s="16" t="s">
        <v>202</v>
      </c>
      <c r="Z75" s="4"/>
      <c r="AA75" s="4"/>
      <c r="AB75" s="42">
        <f t="shared" ref="AB75:AB100" si="2">SUM(C75:AA75)</f>
        <v>323.76</v>
      </c>
    </row>
    <row r="76" spans="1:28" ht="16.5" thickBot="1">
      <c r="A76" s="48" t="s">
        <v>63</v>
      </c>
      <c r="B76" s="47" t="s">
        <v>173</v>
      </c>
      <c r="C76" s="80">
        <v>2.6</v>
      </c>
      <c r="D76" s="45"/>
      <c r="E76" s="80">
        <v>1.26</v>
      </c>
      <c r="F76" s="45"/>
      <c r="G76" s="80">
        <v>4.4000000000000004</v>
      </c>
      <c r="H76" s="45"/>
      <c r="I76" s="46">
        <v>3.05</v>
      </c>
      <c r="J76" s="45"/>
      <c r="K76" s="46">
        <v>72.94</v>
      </c>
      <c r="L76" s="45"/>
      <c r="M76" s="46">
        <v>140.26</v>
      </c>
      <c r="N76" s="46">
        <f>-309.61-351.73</f>
        <v>-661.34</v>
      </c>
      <c r="O76" s="46">
        <v>242.87</v>
      </c>
      <c r="P76" s="46">
        <f>8.21-110.23-72.94-140.26</f>
        <v>-315.22000000000003</v>
      </c>
      <c r="Q76" s="46">
        <v>259.49</v>
      </c>
      <c r="R76" s="45"/>
      <c r="S76" s="46">
        <v>193.59</v>
      </c>
      <c r="T76" s="46">
        <f>-67-502.36</f>
        <v>-569.36</v>
      </c>
      <c r="U76" s="46">
        <v>29.42</v>
      </c>
      <c r="V76" s="45"/>
      <c r="W76" s="46">
        <v>33.78</v>
      </c>
      <c r="X76" s="45"/>
      <c r="Y76" s="46">
        <v>3.69</v>
      </c>
      <c r="Z76" s="46">
        <v>-702.47</v>
      </c>
      <c r="AA76" s="46"/>
      <c r="AB76" s="42">
        <f t="shared" si="2"/>
        <v>-1261.04</v>
      </c>
    </row>
    <row r="77" spans="1:28" ht="16.5" thickBot="1">
      <c r="A77" s="48" t="s">
        <v>186</v>
      </c>
      <c r="B77" s="47" t="s">
        <v>173</v>
      </c>
      <c r="C77" s="80">
        <v>0.45</v>
      </c>
      <c r="D77" s="45"/>
      <c r="E77" s="80">
        <v>0.21</v>
      </c>
      <c r="F77" s="45"/>
      <c r="G77" s="80">
        <v>0.71</v>
      </c>
      <c r="H77" s="45"/>
      <c r="I77" s="46">
        <v>0.5</v>
      </c>
      <c r="J77" s="45"/>
      <c r="K77" s="46">
        <v>110.23</v>
      </c>
      <c r="L77" s="45"/>
      <c r="M77" s="46">
        <v>8.2100000000000009</v>
      </c>
      <c r="N77" s="45"/>
      <c r="O77" s="46">
        <v>27.18</v>
      </c>
      <c r="P77" s="45"/>
      <c r="Q77" s="46">
        <v>39.35</v>
      </c>
      <c r="R77" s="45"/>
      <c r="S77" s="46">
        <v>38.340000000000003</v>
      </c>
      <c r="T77" s="45"/>
      <c r="U77" s="46">
        <v>30.64</v>
      </c>
      <c r="V77" s="45"/>
      <c r="W77" s="46">
        <v>115.65</v>
      </c>
      <c r="X77" s="45"/>
      <c r="Y77" s="46">
        <v>0.77</v>
      </c>
      <c r="Z77" s="45"/>
      <c r="AA77" s="45"/>
      <c r="AB77" s="42">
        <f t="shared" si="2"/>
        <v>372.24</v>
      </c>
    </row>
    <row r="78" spans="1:28" ht="16.5" thickBot="1">
      <c r="A78" s="89" t="s">
        <v>64</v>
      </c>
      <c r="B78" s="88" t="s">
        <v>174</v>
      </c>
      <c r="C78" s="87">
        <v>974.56</v>
      </c>
      <c r="D78" s="85"/>
      <c r="E78" s="87">
        <v>207.72</v>
      </c>
      <c r="F78" s="85"/>
      <c r="G78" s="87">
        <v>1103.9100000000001</v>
      </c>
      <c r="H78" s="86">
        <v>-5991.84</v>
      </c>
      <c r="I78" s="86">
        <v>599.54999999999995</v>
      </c>
      <c r="J78" s="85"/>
      <c r="K78" s="86">
        <v>962.37</v>
      </c>
      <c r="L78" s="85"/>
      <c r="M78" s="86">
        <v>816.28</v>
      </c>
      <c r="N78" s="86">
        <v>-3328.21</v>
      </c>
      <c r="O78" s="86">
        <v>1084.54</v>
      </c>
      <c r="P78" s="85"/>
      <c r="Q78" s="86">
        <v>1093.23</v>
      </c>
      <c r="R78" s="85"/>
      <c r="S78" s="86">
        <v>955.94</v>
      </c>
      <c r="T78" s="85"/>
      <c r="U78" s="86">
        <v>763.08</v>
      </c>
      <c r="V78" s="86">
        <v>-4333.2</v>
      </c>
      <c r="W78" s="86">
        <v>592.75</v>
      </c>
      <c r="X78" s="85"/>
      <c r="Y78" s="86">
        <v>1055.57</v>
      </c>
      <c r="Z78" s="85"/>
      <c r="AA78" s="85"/>
      <c r="AB78" s="42">
        <f t="shared" si="2"/>
        <v>-3443.7500000000009</v>
      </c>
    </row>
    <row r="79" spans="1:28" ht="16.5" thickBot="1">
      <c r="A79" s="89" t="s">
        <v>185</v>
      </c>
      <c r="B79" s="88" t="s">
        <v>174</v>
      </c>
      <c r="C79" s="87">
        <v>491.36</v>
      </c>
      <c r="D79" s="85"/>
      <c r="E79" s="87">
        <v>0.15</v>
      </c>
      <c r="F79" s="85"/>
      <c r="G79" s="87">
        <v>402.8</v>
      </c>
      <c r="H79" s="85"/>
      <c r="I79" s="86">
        <v>0.43</v>
      </c>
      <c r="J79" s="85"/>
      <c r="K79" s="86">
        <v>51.29</v>
      </c>
      <c r="L79" s="85"/>
      <c r="M79" s="86">
        <v>33.47</v>
      </c>
      <c r="N79" s="85"/>
      <c r="O79" s="86">
        <v>100.1</v>
      </c>
      <c r="P79" s="85"/>
      <c r="Q79" s="86">
        <v>74.010000000000005</v>
      </c>
      <c r="R79" s="85"/>
      <c r="S79" s="86">
        <v>175.63</v>
      </c>
      <c r="T79" s="85"/>
      <c r="U79" s="86">
        <v>6.47</v>
      </c>
      <c r="V79" s="85"/>
      <c r="W79" s="86">
        <v>0.85</v>
      </c>
      <c r="X79" s="85"/>
      <c r="Y79" s="86">
        <v>324.24</v>
      </c>
      <c r="Z79" s="85"/>
      <c r="AA79" s="85"/>
      <c r="AB79" s="42">
        <f t="shared" si="2"/>
        <v>1660.7999999999997</v>
      </c>
    </row>
    <row r="80" spans="1:28" ht="16.5" thickBot="1">
      <c r="A80" s="1" t="s">
        <v>65</v>
      </c>
      <c r="B80" s="36" t="s">
        <v>175</v>
      </c>
      <c r="C80" s="79">
        <v>0.69</v>
      </c>
      <c r="D80" s="4"/>
      <c r="E80" s="79">
        <v>0.22</v>
      </c>
      <c r="F80" s="4"/>
      <c r="G80" s="79">
        <v>1.1000000000000001</v>
      </c>
      <c r="H80" s="4"/>
      <c r="I80" s="16">
        <v>0.73</v>
      </c>
      <c r="J80" s="4"/>
      <c r="K80" s="16">
        <v>2.54</v>
      </c>
      <c r="L80" s="4"/>
      <c r="M80" s="16">
        <v>131.93</v>
      </c>
      <c r="N80" s="4"/>
      <c r="O80" s="16">
        <v>41.88</v>
      </c>
      <c r="P80" s="4"/>
      <c r="Q80" s="16">
        <v>89.38</v>
      </c>
      <c r="R80" s="4"/>
      <c r="S80" s="16">
        <v>3.39</v>
      </c>
      <c r="T80" s="4"/>
      <c r="U80" s="16">
        <v>4.93</v>
      </c>
      <c r="V80" s="4"/>
      <c r="W80" s="16">
        <v>0.83</v>
      </c>
      <c r="X80" s="4"/>
      <c r="Y80" s="16">
        <v>0.85</v>
      </c>
      <c r="Z80" s="4"/>
      <c r="AA80" s="4"/>
      <c r="AB80" s="42">
        <f t="shared" si="2"/>
        <v>278.47000000000003</v>
      </c>
    </row>
    <row r="81" spans="1:28" ht="16.5" thickBot="1">
      <c r="A81" s="48" t="s">
        <v>66</v>
      </c>
      <c r="B81" s="47" t="s">
        <v>176</v>
      </c>
      <c r="C81" s="80">
        <v>434.12</v>
      </c>
      <c r="D81" s="45"/>
      <c r="E81" s="80">
        <v>154.28</v>
      </c>
      <c r="F81" s="45"/>
      <c r="G81" s="80">
        <v>673.19</v>
      </c>
      <c r="H81" s="45"/>
      <c r="I81" s="46">
        <v>443.23</v>
      </c>
      <c r="J81" s="46">
        <v>-673.19</v>
      </c>
      <c r="K81" s="46">
        <v>452.46</v>
      </c>
      <c r="L81" s="46">
        <v>-443.23</v>
      </c>
      <c r="M81" s="46">
        <v>469.09</v>
      </c>
      <c r="N81" s="45"/>
      <c r="O81" s="46">
        <v>643.38</v>
      </c>
      <c r="P81" s="46">
        <v>-921.55</v>
      </c>
      <c r="Q81" s="46">
        <v>677.44</v>
      </c>
      <c r="R81" s="45"/>
      <c r="S81" s="46">
        <v>708.45</v>
      </c>
      <c r="T81" s="46">
        <v>-1320.8</v>
      </c>
      <c r="U81" s="46">
        <v>631.32000000000005</v>
      </c>
      <c r="V81" s="45"/>
      <c r="W81" s="46">
        <v>572.26</v>
      </c>
      <c r="X81" s="46">
        <v>-1202.27</v>
      </c>
      <c r="Y81" s="46">
        <v>861.02</v>
      </c>
      <c r="Z81" s="45"/>
      <c r="AA81" s="45"/>
      <c r="AB81" s="42">
        <f t="shared" si="2"/>
        <v>2159.1999999999998</v>
      </c>
    </row>
    <row r="82" spans="1:28" ht="16.5" thickBot="1">
      <c r="A82" s="1" t="s">
        <v>67</v>
      </c>
      <c r="B82" s="36" t="s">
        <v>177</v>
      </c>
      <c r="C82" s="79">
        <v>2.4700000000000002</v>
      </c>
      <c r="D82" s="4"/>
      <c r="E82" s="79">
        <v>0.89</v>
      </c>
      <c r="F82" s="4"/>
      <c r="G82" s="79">
        <v>3.88</v>
      </c>
      <c r="H82" s="4"/>
      <c r="I82" s="16">
        <v>2.4700000000000002</v>
      </c>
      <c r="J82" s="4"/>
      <c r="K82" s="16">
        <v>11.09</v>
      </c>
      <c r="L82" s="4"/>
      <c r="M82" s="16">
        <v>428.23</v>
      </c>
      <c r="N82" s="16">
        <v>-206.19</v>
      </c>
      <c r="O82" s="16">
        <v>385.98</v>
      </c>
      <c r="P82" s="16">
        <v>-441</v>
      </c>
      <c r="Q82" s="16">
        <v>430.1</v>
      </c>
      <c r="R82" s="16">
        <v>-814.21</v>
      </c>
      <c r="S82" s="16">
        <v>565.79</v>
      </c>
      <c r="T82" s="16">
        <v>-996</v>
      </c>
      <c r="U82" s="16">
        <v>3.11</v>
      </c>
      <c r="V82" s="4"/>
      <c r="W82" s="16">
        <v>2.8</v>
      </c>
      <c r="X82" s="4"/>
      <c r="Y82" s="16">
        <v>2.98</v>
      </c>
      <c r="Z82" s="4"/>
      <c r="AA82" s="4"/>
      <c r="AB82" s="42">
        <f t="shared" si="2"/>
        <v>-617.61</v>
      </c>
    </row>
    <row r="83" spans="1:28" ht="16.5" thickBot="1">
      <c r="A83" s="1" t="s">
        <v>68</v>
      </c>
      <c r="B83" s="36" t="s">
        <v>178</v>
      </c>
      <c r="C83" s="79" t="s">
        <v>202</v>
      </c>
      <c r="D83" s="4"/>
      <c r="E83" s="41" t="s">
        <v>202</v>
      </c>
      <c r="F83" s="4"/>
      <c r="G83" s="79">
        <v>21.17</v>
      </c>
      <c r="H83" s="4"/>
      <c r="I83" s="16" t="s">
        <v>202</v>
      </c>
      <c r="J83" s="4"/>
      <c r="K83" s="16">
        <v>5.01</v>
      </c>
      <c r="L83" s="4"/>
      <c r="M83" s="16">
        <v>668.98</v>
      </c>
      <c r="N83" s="4"/>
      <c r="O83" s="16">
        <v>908.17</v>
      </c>
      <c r="P83" s="16">
        <v>-673.99</v>
      </c>
      <c r="Q83" s="16">
        <v>1181.96</v>
      </c>
      <c r="R83" s="16">
        <v>-908.17</v>
      </c>
      <c r="S83" s="16">
        <v>150.02000000000001</v>
      </c>
      <c r="T83" s="16">
        <v>-1181.96</v>
      </c>
      <c r="U83" s="16">
        <v>204.75</v>
      </c>
      <c r="V83" s="4"/>
      <c r="W83" s="16">
        <v>348.45</v>
      </c>
      <c r="X83" s="4"/>
      <c r="Y83" s="16">
        <v>2.21</v>
      </c>
      <c r="Z83" s="4"/>
      <c r="AA83" s="4"/>
      <c r="AB83" s="42">
        <f t="shared" si="2"/>
        <v>726.60000000000014</v>
      </c>
    </row>
    <row r="84" spans="1:28" ht="16.5" thickBot="1">
      <c r="A84" s="48" t="s">
        <v>184</v>
      </c>
      <c r="B84" s="47" t="s">
        <v>183</v>
      </c>
      <c r="C84" s="80">
        <v>0.12</v>
      </c>
      <c r="D84" s="45"/>
      <c r="E84" s="57" t="s">
        <v>202</v>
      </c>
      <c r="F84" s="45"/>
      <c r="G84" s="80">
        <v>0.12</v>
      </c>
      <c r="H84" s="45"/>
      <c r="I84" s="46" t="s">
        <v>202</v>
      </c>
      <c r="J84" s="45"/>
      <c r="K84" s="46">
        <v>1.93</v>
      </c>
      <c r="L84" s="45"/>
      <c r="M84" s="46">
        <v>3.17</v>
      </c>
      <c r="N84" s="45"/>
      <c r="O84" s="46">
        <v>10.62</v>
      </c>
      <c r="P84" s="45"/>
      <c r="Q84" s="46">
        <v>15.33</v>
      </c>
      <c r="R84" s="45"/>
      <c r="S84" s="46">
        <v>10.4</v>
      </c>
      <c r="T84" s="45"/>
      <c r="U84" s="46">
        <v>4.16</v>
      </c>
      <c r="V84" s="45"/>
      <c r="W84" s="46">
        <v>0.68</v>
      </c>
      <c r="X84" s="45"/>
      <c r="Y84" s="46">
        <v>0.11</v>
      </c>
      <c r="Z84" s="45"/>
      <c r="AA84" s="45"/>
      <c r="AB84" s="42">
        <f t="shared" si="2"/>
        <v>46.639999999999993</v>
      </c>
    </row>
    <row r="85" spans="1:28" ht="16.5" thickBot="1">
      <c r="A85" s="48" t="s">
        <v>69</v>
      </c>
      <c r="B85" s="47" t="s">
        <v>155</v>
      </c>
      <c r="C85" s="80">
        <v>2.94</v>
      </c>
      <c r="D85" s="45"/>
      <c r="E85" s="80">
        <v>1.02</v>
      </c>
      <c r="F85" s="45"/>
      <c r="G85" s="80">
        <v>4.4800000000000004</v>
      </c>
      <c r="H85" s="45"/>
      <c r="I85" s="46">
        <v>2.9</v>
      </c>
      <c r="J85" s="45"/>
      <c r="K85" s="46">
        <v>57.27</v>
      </c>
      <c r="L85" s="45"/>
      <c r="M85" s="46">
        <v>118.9</v>
      </c>
      <c r="N85" s="45"/>
      <c r="O85" s="46">
        <v>149.11000000000001</v>
      </c>
      <c r="P85" s="45"/>
      <c r="Q85" s="46">
        <v>174.63</v>
      </c>
      <c r="R85" s="45"/>
      <c r="S85" s="46">
        <v>173.36</v>
      </c>
      <c r="T85" s="45"/>
      <c r="U85" s="46">
        <v>114.68</v>
      </c>
      <c r="V85" s="46">
        <v>-673.27</v>
      </c>
      <c r="W85" s="46">
        <v>36.86</v>
      </c>
      <c r="X85" s="45"/>
      <c r="Y85" s="46">
        <v>0.05</v>
      </c>
      <c r="Z85" s="45"/>
      <c r="AA85" s="45"/>
      <c r="AB85" s="42">
        <f t="shared" si="2"/>
        <v>162.93</v>
      </c>
    </row>
    <row r="86" spans="1:28" ht="16.5" thickBot="1">
      <c r="A86" s="1" t="s">
        <v>70</v>
      </c>
      <c r="B86" s="36" t="s">
        <v>156</v>
      </c>
      <c r="C86" s="79">
        <v>3.68</v>
      </c>
      <c r="D86" s="4"/>
      <c r="E86" s="79">
        <v>1.28</v>
      </c>
      <c r="F86" s="4"/>
      <c r="G86" s="79">
        <v>5.72</v>
      </c>
      <c r="H86" s="4"/>
      <c r="I86" s="16">
        <v>3.7</v>
      </c>
      <c r="J86" s="4"/>
      <c r="K86" s="16">
        <v>166.52</v>
      </c>
      <c r="L86" s="4"/>
      <c r="M86" s="16">
        <v>128.1</v>
      </c>
      <c r="N86" s="4"/>
      <c r="O86" s="16">
        <v>318.36</v>
      </c>
      <c r="P86" s="4"/>
      <c r="Q86" s="16">
        <v>335.4</v>
      </c>
      <c r="R86" s="4"/>
      <c r="S86" s="16">
        <v>187.86</v>
      </c>
      <c r="T86" s="4"/>
      <c r="U86" s="16">
        <v>16.760000000000002</v>
      </c>
      <c r="V86" s="4"/>
      <c r="W86" s="16">
        <v>15.26</v>
      </c>
      <c r="X86" s="16">
        <v>-1500</v>
      </c>
      <c r="Y86" s="16">
        <v>3.92</v>
      </c>
      <c r="Z86" s="4"/>
      <c r="AA86" s="4"/>
      <c r="AB86" s="42">
        <f t="shared" si="2"/>
        <v>-313.44000000000011</v>
      </c>
    </row>
    <row r="87" spans="1:28" ht="16.5" thickBot="1">
      <c r="A87" s="1" t="s">
        <v>71</v>
      </c>
      <c r="B87" s="36" t="s">
        <v>157</v>
      </c>
      <c r="C87" s="41" t="s">
        <v>202</v>
      </c>
      <c r="D87" s="4"/>
      <c r="E87" s="41" t="s">
        <v>202</v>
      </c>
      <c r="F87" s="4"/>
      <c r="G87" s="41" t="s">
        <v>202</v>
      </c>
      <c r="H87" s="4"/>
      <c r="I87" s="16" t="s">
        <v>202</v>
      </c>
      <c r="J87" s="4"/>
      <c r="K87" s="16">
        <v>521.66</v>
      </c>
      <c r="L87" s="4"/>
      <c r="M87" s="16">
        <v>582.02</v>
      </c>
      <c r="N87" s="4"/>
      <c r="O87" s="16">
        <v>484.82</v>
      </c>
      <c r="P87" s="4"/>
      <c r="Q87" s="16">
        <v>822.35</v>
      </c>
      <c r="R87" s="4"/>
      <c r="S87" s="16">
        <v>1571.33</v>
      </c>
      <c r="T87" s="16">
        <f>-1571.33-1756.85</f>
        <v>-3328.18</v>
      </c>
      <c r="U87" s="16">
        <v>66.510000000000005</v>
      </c>
      <c r="V87" s="4"/>
      <c r="W87" s="16">
        <v>32.89</v>
      </c>
      <c r="X87" s="4"/>
      <c r="Y87" s="16" t="s">
        <v>202</v>
      </c>
      <c r="Z87" s="4"/>
      <c r="AA87" s="4"/>
      <c r="AB87" s="42">
        <f t="shared" si="2"/>
        <v>753.4</v>
      </c>
    </row>
    <row r="88" spans="1:28" ht="16.5" thickBot="1">
      <c r="A88" s="1" t="s">
        <v>72</v>
      </c>
      <c r="B88" s="36" t="s">
        <v>158</v>
      </c>
      <c r="C88" s="79">
        <v>3.93</v>
      </c>
      <c r="D88" s="4"/>
      <c r="E88" s="79">
        <v>1.37</v>
      </c>
      <c r="F88" s="4"/>
      <c r="G88" s="79">
        <v>6.1</v>
      </c>
      <c r="H88" s="4"/>
      <c r="I88" s="16">
        <v>4.01</v>
      </c>
      <c r="J88" s="4"/>
      <c r="K88" s="16">
        <v>408.32</v>
      </c>
      <c r="L88" s="4"/>
      <c r="M88" s="16">
        <v>642.41999999999996</v>
      </c>
      <c r="N88" s="4"/>
      <c r="O88" s="16">
        <v>660.97</v>
      </c>
      <c r="P88" s="16">
        <v>-645</v>
      </c>
      <c r="Q88" s="16">
        <v>678.54</v>
      </c>
      <c r="R88" s="4"/>
      <c r="S88" s="16">
        <v>1339.55</v>
      </c>
      <c r="T88" s="16">
        <v>-1700</v>
      </c>
      <c r="U88" s="16">
        <v>369.5</v>
      </c>
      <c r="V88" s="4"/>
      <c r="W88" s="16">
        <v>4.46</v>
      </c>
      <c r="X88" s="4"/>
      <c r="Y88" s="16">
        <v>4.72</v>
      </c>
      <c r="Z88" s="4"/>
      <c r="AA88" s="4"/>
      <c r="AB88" s="42">
        <f t="shared" si="2"/>
        <v>1778.89</v>
      </c>
    </row>
    <row r="89" spans="1:28" ht="16.5" thickBot="1">
      <c r="A89" s="1" t="s">
        <v>73</v>
      </c>
      <c r="B89" s="36" t="s">
        <v>159</v>
      </c>
      <c r="C89" s="79">
        <v>2.54</v>
      </c>
      <c r="D89" s="4"/>
      <c r="E89" s="79">
        <v>0.91</v>
      </c>
      <c r="F89" s="4"/>
      <c r="G89" s="79">
        <v>3.88</v>
      </c>
      <c r="H89" s="4"/>
      <c r="I89" s="16">
        <v>2.4500000000000002</v>
      </c>
      <c r="J89" s="4"/>
      <c r="K89" s="16">
        <v>7.68</v>
      </c>
      <c r="L89" s="4"/>
      <c r="M89" s="16">
        <v>178.95</v>
      </c>
      <c r="N89" s="4"/>
      <c r="O89" s="16">
        <v>163.96</v>
      </c>
      <c r="P89" s="4"/>
      <c r="Q89" s="16">
        <v>263.27999999999997</v>
      </c>
      <c r="R89" s="4"/>
      <c r="S89" s="16">
        <v>143.74</v>
      </c>
      <c r="T89" s="16"/>
      <c r="U89" s="16">
        <v>77.45</v>
      </c>
      <c r="V89" s="4"/>
      <c r="W89" s="16">
        <v>148.21</v>
      </c>
      <c r="X89" s="4"/>
      <c r="Y89" s="16">
        <v>35.200000000000003</v>
      </c>
      <c r="Z89" s="4"/>
      <c r="AA89" s="4"/>
      <c r="AB89" s="42">
        <f t="shared" si="2"/>
        <v>1028.25</v>
      </c>
    </row>
    <row r="90" spans="1:28" ht="16.5" thickBot="1">
      <c r="A90" s="1" t="s">
        <v>74</v>
      </c>
      <c r="B90" s="36" t="s">
        <v>160</v>
      </c>
      <c r="C90" s="41" t="s">
        <v>202</v>
      </c>
      <c r="D90" s="4"/>
      <c r="E90" s="41" t="s">
        <v>202</v>
      </c>
      <c r="F90" s="4"/>
      <c r="G90" s="41" t="s">
        <v>202</v>
      </c>
      <c r="H90" s="4"/>
      <c r="I90" s="16" t="s">
        <v>202</v>
      </c>
      <c r="J90" s="4"/>
      <c r="K90" s="16" t="s">
        <v>202</v>
      </c>
      <c r="L90" s="4"/>
      <c r="M90" s="16" t="s">
        <v>202</v>
      </c>
      <c r="N90" s="4"/>
      <c r="O90" s="16" t="s">
        <v>202</v>
      </c>
      <c r="P90" s="4"/>
      <c r="Q90" s="16" t="s">
        <v>202</v>
      </c>
      <c r="R90" s="4"/>
      <c r="S90" s="16" t="s">
        <v>202</v>
      </c>
      <c r="T90" s="4"/>
      <c r="U90" s="16" t="s">
        <v>202</v>
      </c>
      <c r="V90" s="4"/>
      <c r="W90" s="16" t="s">
        <v>202</v>
      </c>
      <c r="X90" s="4"/>
      <c r="Y90" s="16" t="s">
        <v>202</v>
      </c>
      <c r="Z90" s="4"/>
      <c r="AA90" s="4"/>
      <c r="AB90" s="42">
        <f t="shared" si="2"/>
        <v>0</v>
      </c>
    </row>
    <row r="91" spans="1:28" ht="16.5" thickBot="1">
      <c r="A91" s="1" t="s">
        <v>182</v>
      </c>
      <c r="B91" s="36" t="s">
        <v>161</v>
      </c>
      <c r="C91" s="79">
        <v>2.65</v>
      </c>
      <c r="D91" s="4"/>
      <c r="E91" s="79">
        <v>0.96</v>
      </c>
      <c r="F91" s="4"/>
      <c r="G91" s="79">
        <v>4.1500000000000004</v>
      </c>
      <c r="H91" s="4"/>
      <c r="I91" s="16">
        <v>334.38</v>
      </c>
      <c r="J91" s="4"/>
      <c r="K91" s="16">
        <v>654.96</v>
      </c>
      <c r="L91" s="4"/>
      <c r="M91" s="16">
        <v>921.21</v>
      </c>
      <c r="N91" s="4"/>
      <c r="O91" s="16">
        <v>1199.6400000000001</v>
      </c>
      <c r="P91" s="4"/>
      <c r="Q91" s="16">
        <v>1282.6099999999999</v>
      </c>
      <c r="R91" s="4"/>
      <c r="S91" s="16">
        <v>1618.78</v>
      </c>
      <c r="T91" s="4"/>
      <c r="U91" s="16">
        <v>2377.5</v>
      </c>
      <c r="V91" s="4"/>
      <c r="W91" s="16" t="s">
        <v>202</v>
      </c>
      <c r="X91" s="4"/>
      <c r="Y91" s="16" t="s">
        <v>202</v>
      </c>
      <c r="Z91" s="4"/>
      <c r="AA91" s="4"/>
      <c r="AB91" s="42">
        <f t="shared" si="2"/>
        <v>8396.84</v>
      </c>
    </row>
    <row r="92" spans="1:28" ht="16.5" thickBot="1">
      <c r="A92" s="1" t="s">
        <v>75</v>
      </c>
      <c r="B92" s="36" t="s">
        <v>162</v>
      </c>
      <c r="C92" s="79">
        <v>2.4900000000000002</v>
      </c>
      <c r="D92" s="4"/>
      <c r="E92" s="79">
        <v>0.87</v>
      </c>
      <c r="F92" s="4"/>
      <c r="G92" s="79">
        <v>3.86</v>
      </c>
      <c r="H92" s="4"/>
      <c r="I92" s="16">
        <v>2.4900000000000002</v>
      </c>
      <c r="J92" s="4"/>
      <c r="K92" s="16">
        <v>471.98</v>
      </c>
      <c r="L92" s="4"/>
      <c r="M92" s="16">
        <v>336.07</v>
      </c>
      <c r="N92" s="4"/>
      <c r="O92" s="16">
        <v>217.91</v>
      </c>
      <c r="P92" s="4"/>
      <c r="Q92" s="16">
        <v>553.5</v>
      </c>
      <c r="R92" s="16">
        <v>-1308</v>
      </c>
      <c r="S92" s="16">
        <v>172.34</v>
      </c>
      <c r="T92" s="4"/>
      <c r="U92" s="16">
        <v>120.32</v>
      </c>
      <c r="V92" s="16">
        <v>-943.75</v>
      </c>
      <c r="W92" s="16">
        <v>95.76</v>
      </c>
      <c r="X92" s="4"/>
      <c r="Y92" s="16" t="s">
        <v>202</v>
      </c>
      <c r="Z92" s="16">
        <v>-157.18</v>
      </c>
      <c r="AA92" s="16"/>
      <c r="AB92" s="42">
        <f t="shared" si="2"/>
        <v>-431.33999999999986</v>
      </c>
    </row>
    <row r="93" spans="1:28" ht="16.5" thickBot="1">
      <c r="A93" s="1" t="s">
        <v>76</v>
      </c>
      <c r="B93" s="36" t="s">
        <v>203</v>
      </c>
      <c r="C93" s="79">
        <v>11.63</v>
      </c>
      <c r="D93" s="4"/>
      <c r="E93" s="41" t="s">
        <v>202</v>
      </c>
      <c r="F93" s="4"/>
      <c r="G93" s="41" t="s">
        <v>202</v>
      </c>
      <c r="H93" s="4"/>
      <c r="I93" s="16">
        <v>0.04</v>
      </c>
      <c r="J93" s="4"/>
      <c r="K93" s="16">
        <v>189.44</v>
      </c>
      <c r="L93" s="16">
        <v>-1896.83</v>
      </c>
      <c r="M93" s="16">
        <v>1060.5999999999999</v>
      </c>
      <c r="N93" s="16">
        <v>-2128.2399999999998</v>
      </c>
      <c r="O93" s="16">
        <v>1309.98</v>
      </c>
      <c r="P93" s="16">
        <v>-1060.5999999999999</v>
      </c>
      <c r="Q93" s="16">
        <v>1120.94</v>
      </c>
      <c r="R93" s="16">
        <v>-1309.98</v>
      </c>
      <c r="S93" s="16">
        <v>1903.64</v>
      </c>
      <c r="T93" s="16">
        <v>-1120.8399999999999</v>
      </c>
      <c r="U93" s="16">
        <v>155.19</v>
      </c>
      <c r="V93" s="16">
        <v>-1903.64</v>
      </c>
      <c r="W93" s="16">
        <v>452.79</v>
      </c>
      <c r="X93" s="16">
        <v>-155.19</v>
      </c>
      <c r="Y93" s="16">
        <v>302.99</v>
      </c>
      <c r="Z93" s="16">
        <v>-452.79</v>
      </c>
      <c r="AA93" s="16"/>
      <c r="AB93" s="42">
        <f t="shared" si="2"/>
        <v>-3520.869999999999</v>
      </c>
    </row>
    <row r="94" spans="1:28" ht="16.5" thickBot="1">
      <c r="A94" s="1" t="s">
        <v>77</v>
      </c>
      <c r="B94" s="36" t="s">
        <v>163</v>
      </c>
      <c r="C94" s="41" t="s">
        <v>202</v>
      </c>
      <c r="D94" s="4"/>
      <c r="E94" s="41" t="s">
        <v>202</v>
      </c>
      <c r="F94" s="4"/>
      <c r="G94" s="41" t="s">
        <v>202</v>
      </c>
      <c r="H94" s="4"/>
      <c r="I94" s="16" t="s">
        <v>202</v>
      </c>
      <c r="J94" s="4"/>
      <c r="K94" s="16">
        <v>2.2999999999999998</v>
      </c>
      <c r="L94" s="4"/>
      <c r="M94" s="16">
        <v>17.96</v>
      </c>
      <c r="N94" s="4"/>
      <c r="O94" s="16" t="s">
        <v>202</v>
      </c>
      <c r="P94" s="4"/>
      <c r="Q94" s="16">
        <v>8.56</v>
      </c>
      <c r="R94" s="4"/>
      <c r="S94" s="16" t="s">
        <v>202</v>
      </c>
      <c r="T94" s="4"/>
      <c r="U94" s="16">
        <v>5.1100000000000003</v>
      </c>
      <c r="V94" s="4"/>
      <c r="W94" s="16" t="s">
        <v>202</v>
      </c>
      <c r="X94" s="4"/>
      <c r="Y94" s="16" t="s">
        <v>202</v>
      </c>
      <c r="Z94" s="4"/>
      <c r="AA94" s="4"/>
      <c r="AB94" s="42">
        <f t="shared" si="2"/>
        <v>33.93</v>
      </c>
    </row>
    <row r="95" spans="1:28" ht="16.5" thickBot="1">
      <c r="A95" s="1" t="s">
        <v>78</v>
      </c>
      <c r="B95" s="36" t="s">
        <v>164</v>
      </c>
      <c r="C95" s="41" t="s">
        <v>202</v>
      </c>
      <c r="D95" s="4"/>
      <c r="E95" s="41" t="s">
        <v>202</v>
      </c>
      <c r="F95" s="4"/>
      <c r="G95" s="41" t="s">
        <v>202</v>
      </c>
      <c r="H95" s="4"/>
      <c r="I95" s="16" t="s">
        <v>202</v>
      </c>
      <c r="J95" s="4"/>
      <c r="K95" s="16">
        <v>89.17</v>
      </c>
      <c r="L95" s="4"/>
      <c r="M95" s="16">
        <v>137.83000000000001</v>
      </c>
      <c r="N95" s="16">
        <v>-900</v>
      </c>
      <c r="O95" s="16">
        <v>109.82</v>
      </c>
      <c r="P95" s="4"/>
      <c r="Q95" s="16">
        <v>190.99</v>
      </c>
      <c r="R95" s="4"/>
      <c r="S95" s="16">
        <v>80.59</v>
      </c>
      <c r="T95" s="4"/>
      <c r="U95" s="16">
        <v>121.43</v>
      </c>
      <c r="V95" s="4"/>
      <c r="W95" s="16">
        <v>5.75</v>
      </c>
      <c r="X95" s="4"/>
      <c r="Y95" s="16" t="s">
        <v>202</v>
      </c>
      <c r="Z95" s="4"/>
      <c r="AA95" s="4"/>
      <c r="AB95" s="42">
        <f t="shared" si="2"/>
        <v>-164.42000000000002</v>
      </c>
    </row>
    <row r="96" spans="1:28" ht="16.5" thickBot="1">
      <c r="A96" s="1" t="s">
        <v>79</v>
      </c>
      <c r="B96" s="36" t="s">
        <v>99</v>
      </c>
      <c r="C96" s="79">
        <v>3.2</v>
      </c>
      <c r="D96" s="4"/>
      <c r="E96" s="79">
        <v>1.1499999999999999</v>
      </c>
      <c r="F96" s="4"/>
      <c r="G96" s="79">
        <v>4.95</v>
      </c>
      <c r="H96" s="4"/>
      <c r="I96" s="16">
        <v>3.24</v>
      </c>
      <c r="J96" s="4"/>
      <c r="K96" s="16">
        <v>1630.25</v>
      </c>
      <c r="L96" s="4"/>
      <c r="M96" s="16">
        <v>2390.5100000000002</v>
      </c>
      <c r="N96" s="4"/>
      <c r="O96" s="16">
        <v>1160.8</v>
      </c>
      <c r="P96" s="4"/>
      <c r="Q96" s="16">
        <v>1931.34</v>
      </c>
      <c r="R96" s="4"/>
      <c r="S96" s="16">
        <v>2544.0100000000002</v>
      </c>
      <c r="T96" s="4"/>
      <c r="U96" s="16">
        <v>65.55</v>
      </c>
      <c r="V96" s="4"/>
      <c r="W96" s="16">
        <v>118.05</v>
      </c>
      <c r="X96" s="4"/>
      <c r="Y96" s="16">
        <v>126.58</v>
      </c>
      <c r="Z96" s="4"/>
      <c r="AA96" s="4"/>
      <c r="AB96" s="42">
        <f t="shared" si="2"/>
        <v>9979.6299999999992</v>
      </c>
    </row>
    <row r="97" spans="1:28" ht="16.5" thickBot="1">
      <c r="A97" s="1" t="s">
        <v>80</v>
      </c>
      <c r="B97" s="36" t="s">
        <v>165</v>
      </c>
      <c r="C97" s="41" t="s">
        <v>202</v>
      </c>
      <c r="D97" s="4"/>
      <c r="E97" s="41" t="s">
        <v>202</v>
      </c>
      <c r="F97" s="4"/>
      <c r="G97" s="41" t="s">
        <v>202</v>
      </c>
      <c r="H97" s="16">
        <v>-220.8</v>
      </c>
      <c r="I97" s="16">
        <v>1.69</v>
      </c>
      <c r="J97" s="4"/>
      <c r="K97" s="16">
        <v>172.89</v>
      </c>
      <c r="L97" s="4"/>
      <c r="M97" s="16">
        <v>375.26</v>
      </c>
      <c r="N97" s="16">
        <v>-174.58</v>
      </c>
      <c r="O97" s="16">
        <v>159.94999999999999</v>
      </c>
      <c r="P97" s="4"/>
      <c r="Q97" s="16">
        <v>120.59</v>
      </c>
      <c r="R97" s="16">
        <v>-535.21</v>
      </c>
      <c r="S97" s="16">
        <v>382.54</v>
      </c>
      <c r="T97" s="4"/>
      <c r="U97" s="16">
        <v>324.51</v>
      </c>
      <c r="V97" s="16">
        <v>-503.13</v>
      </c>
      <c r="W97" s="16">
        <v>84.27</v>
      </c>
      <c r="X97" s="16"/>
      <c r="Y97" s="16">
        <v>24.79</v>
      </c>
      <c r="Z97" s="16">
        <v>-408.78</v>
      </c>
      <c r="AA97" s="16"/>
      <c r="AB97" s="42">
        <f t="shared" si="2"/>
        <v>-196.01000000000008</v>
      </c>
    </row>
    <row r="98" spans="1:28" ht="16.5" thickBot="1">
      <c r="A98" s="48" t="s">
        <v>81</v>
      </c>
      <c r="B98" s="47" t="s">
        <v>166</v>
      </c>
      <c r="C98" s="80">
        <v>20.99</v>
      </c>
      <c r="D98" s="45"/>
      <c r="E98" s="80">
        <v>7.33</v>
      </c>
      <c r="F98" s="45"/>
      <c r="G98" s="80">
        <v>32.6</v>
      </c>
      <c r="H98" s="45"/>
      <c r="I98" s="46">
        <v>45.38</v>
      </c>
      <c r="J98" s="45"/>
      <c r="K98" s="46">
        <v>329.44</v>
      </c>
      <c r="L98" s="45"/>
      <c r="M98" s="46">
        <v>320.3</v>
      </c>
      <c r="N98" s="45"/>
      <c r="O98" s="46">
        <v>517.67999999999995</v>
      </c>
      <c r="P98" s="46">
        <v>-1542.43</v>
      </c>
      <c r="Q98" s="46">
        <v>520.15</v>
      </c>
      <c r="R98" s="45"/>
      <c r="S98" s="46">
        <v>447.07</v>
      </c>
      <c r="T98" s="45"/>
      <c r="U98" s="46">
        <v>342.75</v>
      </c>
      <c r="V98" s="45"/>
      <c r="W98" s="46">
        <v>177.87</v>
      </c>
      <c r="X98" s="45"/>
      <c r="Y98" s="46">
        <v>26.27</v>
      </c>
      <c r="Z98" s="45"/>
      <c r="AA98" s="45"/>
      <c r="AB98" s="42">
        <f t="shared" si="2"/>
        <v>1245.3999999999996</v>
      </c>
    </row>
    <row r="99" spans="1:28" ht="16.5" thickBot="1">
      <c r="A99" s="1" t="s">
        <v>82</v>
      </c>
      <c r="B99" s="36" t="s">
        <v>167</v>
      </c>
      <c r="C99" s="79">
        <v>2.75</v>
      </c>
      <c r="D99" s="4"/>
      <c r="E99" s="79">
        <v>0.98</v>
      </c>
      <c r="F99" s="4"/>
      <c r="G99" s="79">
        <v>4.1399999999999997</v>
      </c>
      <c r="H99" s="4"/>
      <c r="I99" s="16">
        <v>2.73</v>
      </c>
      <c r="J99" s="4"/>
      <c r="K99" s="16">
        <v>399.57</v>
      </c>
      <c r="L99" s="4"/>
      <c r="M99" s="16">
        <v>502.8</v>
      </c>
      <c r="N99" s="16">
        <v>-521.33000000000004</v>
      </c>
      <c r="O99" s="16">
        <v>752.37</v>
      </c>
      <c r="P99" s="16">
        <v>-1000</v>
      </c>
      <c r="Q99" s="16">
        <v>896.47</v>
      </c>
      <c r="R99" s="4"/>
      <c r="S99" s="16">
        <v>858.71</v>
      </c>
      <c r="T99" s="4"/>
      <c r="U99" s="16">
        <v>197.98</v>
      </c>
      <c r="V99" s="4"/>
      <c r="W99" s="16">
        <v>3.08</v>
      </c>
      <c r="X99" s="4"/>
      <c r="Y99" s="16">
        <v>3.23</v>
      </c>
      <c r="Z99" s="16">
        <v>-2545.21</v>
      </c>
      <c r="AA99" s="16"/>
      <c r="AB99" s="42">
        <f t="shared" si="2"/>
        <v>-441.73</v>
      </c>
    </row>
    <row r="100" spans="1:28" ht="15.75">
      <c r="A100" s="1" t="s">
        <v>83</v>
      </c>
      <c r="B100" s="36" t="s">
        <v>168</v>
      </c>
      <c r="C100" s="79"/>
      <c r="D100" s="4"/>
      <c r="E100" s="79"/>
      <c r="F100" s="4"/>
      <c r="G100" s="79"/>
      <c r="H100" s="4"/>
      <c r="I100" s="16"/>
      <c r="J100" s="4"/>
      <c r="K100" s="16"/>
      <c r="L100" s="4"/>
      <c r="M100" s="84"/>
      <c r="N100" s="4"/>
      <c r="O100" s="79"/>
      <c r="P100" s="4"/>
      <c r="Q100" s="16"/>
      <c r="R100" s="4"/>
      <c r="S100" s="16"/>
      <c r="T100" s="4"/>
      <c r="U100" s="16"/>
      <c r="V100" s="4"/>
      <c r="W100" s="16"/>
      <c r="X100" s="4"/>
      <c r="Y100" s="16" t="s">
        <v>202</v>
      </c>
      <c r="Z100" s="4"/>
      <c r="AA100" s="4"/>
      <c r="AB100" s="42">
        <f t="shared" si="2"/>
        <v>0</v>
      </c>
    </row>
    <row r="101" spans="1:28">
      <c r="C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8">
      <c r="C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8">
      <c r="C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8">
      <c r="C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8">
      <c r="C105"/>
      <c r="E105"/>
      <c r="F105"/>
      <c r="G105"/>
      <c r="H105"/>
    </row>
    <row r="106" spans="1:28">
      <c r="C106"/>
      <c r="E106"/>
      <c r="F106"/>
      <c r="G106"/>
      <c r="H106"/>
    </row>
    <row r="107" spans="1:28">
      <c r="C107"/>
      <c r="E107"/>
      <c r="F107"/>
      <c r="G107"/>
      <c r="H107"/>
    </row>
    <row r="108" spans="1:28">
      <c r="C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8">
      <c r="C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8">
      <c r="C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9:AB110"/>
  <sheetViews>
    <sheetView workbookViewId="0">
      <pane xSplit="2" ySplit="10" topLeftCell="T44" activePane="bottomRight" state="frozen"/>
      <selection pane="topRight" activeCell="C1" sqref="C1"/>
      <selection pane="bottomLeft" activeCell="A11" sqref="A11"/>
      <selection pane="bottomRight" activeCell="B7" sqref="B7"/>
    </sheetView>
  </sheetViews>
  <sheetFormatPr defaultRowHeight="15"/>
  <cols>
    <col min="1" max="1" width="10.28515625" bestFit="1" customWidth="1"/>
    <col min="2" max="2" width="15.5703125" bestFit="1" customWidth="1"/>
    <col min="3" max="3" width="17.28515625" style="2" bestFit="1" customWidth="1"/>
    <col min="4" max="4" width="19.85546875" style="2" customWidth="1"/>
    <col min="5" max="5" width="17.28515625" style="2" bestFit="1" customWidth="1"/>
    <col min="6" max="6" width="19.85546875" style="2" customWidth="1"/>
    <col min="7" max="7" width="17.28515625" style="2" bestFit="1" customWidth="1"/>
    <col min="8" max="8" width="19.85546875" style="2" customWidth="1"/>
    <col min="9" max="9" width="17.28515625" bestFit="1" customWidth="1"/>
    <col min="10" max="10" width="17.85546875" customWidth="1"/>
    <col min="11" max="11" width="17.28515625" bestFit="1" customWidth="1"/>
    <col min="12" max="18" width="17.28515625" customWidth="1"/>
    <col min="19" max="27" width="17.85546875" customWidth="1"/>
    <col min="28" max="28" width="15.7109375" customWidth="1"/>
  </cols>
  <sheetData>
    <row r="9" spans="1:28" ht="15.75" thickBot="1">
      <c r="C9"/>
      <c r="E9"/>
      <c r="F9"/>
      <c r="G9"/>
      <c r="H9"/>
    </row>
    <row r="10" spans="1:28" ht="26.25" customHeight="1" thickBot="1">
      <c r="A10" s="55" t="s">
        <v>0</v>
      </c>
      <c r="B10" s="54" t="s">
        <v>96</v>
      </c>
      <c r="C10" s="10">
        <v>40909</v>
      </c>
      <c r="D10" s="3"/>
      <c r="E10" s="10">
        <v>40940</v>
      </c>
      <c r="F10" s="77"/>
      <c r="G10" s="10">
        <v>40969</v>
      </c>
      <c r="H10" s="10"/>
      <c r="I10" s="10">
        <v>41000</v>
      </c>
      <c r="J10" s="10"/>
      <c r="K10" s="10">
        <v>41030</v>
      </c>
      <c r="L10" s="10"/>
      <c r="M10" s="10">
        <v>41061</v>
      </c>
      <c r="N10" s="10"/>
      <c r="O10" s="10">
        <v>41091</v>
      </c>
      <c r="P10" s="10"/>
      <c r="Q10" s="10">
        <v>41122</v>
      </c>
      <c r="R10" s="10"/>
      <c r="S10" s="10">
        <v>41153</v>
      </c>
      <c r="T10" s="10"/>
      <c r="U10" s="10">
        <v>41183</v>
      </c>
      <c r="V10" s="10"/>
      <c r="W10" s="10">
        <v>41214</v>
      </c>
      <c r="X10" s="10"/>
      <c r="Y10" s="10">
        <v>41244</v>
      </c>
      <c r="Z10" s="10"/>
      <c r="AA10" s="10"/>
      <c r="AB10" s="52" t="s">
        <v>84</v>
      </c>
    </row>
    <row r="11" spans="1:28" ht="16.5" thickBot="1">
      <c r="A11" s="1" t="s">
        <v>1</v>
      </c>
      <c r="B11" s="96" t="s">
        <v>97</v>
      </c>
      <c r="C11" s="15">
        <v>1959.23</v>
      </c>
      <c r="D11" s="15"/>
      <c r="E11" s="15">
        <v>2582.58</v>
      </c>
      <c r="F11" s="15">
        <v>-1959.23</v>
      </c>
      <c r="G11" s="15">
        <v>1506.56</v>
      </c>
      <c r="H11" s="51"/>
      <c r="I11" s="15">
        <v>618.33000000000004</v>
      </c>
      <c r="J11" s="15">
        <v>-1506.56</v>
      </c>
      <c r="K11" s="15">
        <v>1234.3399999999999</v>
      </c>
      <c r="L11" s="15">
        <v>-618.33000000000004</v>
      </c>
      <c r="M11" s="15">
        <v>1063.56</v>
      </c>
      <c r="N11" s="15">
        <v>-1234.3399999999999</v>
      </c>
      <c r="O11" s="15">
        <v>789.66</v>
      </c>
      <c r="P11" s="95">
        <v>-2743.38</v>
      </c>
      <c r="Q11" s="15">
        <v>773.68</v>
      </c>
      <c r="R11" s="15">
        <f>-789.66-1063.56</f>
        <v>-1853.2199999999998</v>
      </c>
      <c r="S11" s="15">
        <v>1792.53</v>
      </c>
      <c r="T11" s="51"/>
      <c r="U11" s="15">
        <v>574.67999999999995</v>
      </c>
      <c r="V11" s="15">
        <v>-3355.87</v>
      </c>
      <c r="W11" s="15">
        <v>625.86</v>
      </c>
      <c r="X11" s="51"/>
      <c r="Y11" s="15">
        <v>1724.69</v>
      </c>
      <c r="Z11" s="15">
        <f>-574.68-625.86</f>
        <v>-1200.54</v>
      </c>
      <c r="AA11" s="15"/>
      <c r="AB11" s="42">
        <f t="shared" ref="AB11:AB42" si="0">SUM(C11:AA11)</f>
        <v>774.22999999999911</v>
      </c>
    </row>
    <row r="12" spans="1:28" ht="16.5" thickBot="1">
      <c r="A12" s="1" t="s">
        <v>2</v>
      </c>
      <c r="B12" s="36" t="s">
        <v>98</v>
      </c>
      <c r="C12" s="16">
        <v>7.07</v>
      </c>
      <c r="D12" s="4"/>
      <c r="E12" s="16">
        <v>2.2000000000000002</v>
      </c>
      <c r="F12" s="4"/>
      <c r="G12" s="16">
        <v>1.96</v>
      </c>
      <c r="H12" s="4"/>
      <c r="I12" s="16">
        <v>34.130000000000003</v>
      </c>
      <c r="J12" s="4"/>
      <c r="K12" s="16">
        <v>382.93</v>
      </c>
      <c r="L12" s="4"/>
      <c r="M12" s="16">
        <v>398.48</v>
      </c>
      <c r="N12" s="4"/>
      <c r="O12" s="16">
        <v>315.93</v>
      </c>
      <c r="P12" s="4"/>
      <c r="Q12" s="16">
        <v>405.04</v>
      </c>
      <c r="R12" s="16">
        <v>-1135.6300000000001</v>
      </c>
      <c r="S12" s="16">
        <v>551.92999999999995</v>
      </c>
      <c r="T12" s="16">
        <v>-460.37</v>
      </c>
      <c r="U12" s="16">
        <v>163.15</v>
      </c>
      <c r="V12" s="4"/>
      <c r="W12" s="16">
        <v>68.349999999999994</v>
      </c>
      <c r="X12" s="4"/>
      <c r="Y12" s="16">
        <v>8.1</v>
      </c>
      <c r="Z12" s="4"/>
      <c r="AA12" s="4"/>
      <c r="AB12" s="42">
        <f t="shared" si="0"/>
        <v>743.26999999999987</v>
      </c>
    </row>
    <row r="13" spans="1:28" ht="16.5" thickBot="1">
      <c r="A13" s="1" t="s">
        <v>3</v>
      </c>
      <c r="B13" s="36" t="s">
        <v>99</v>
      </c>
      <c r="C13" s="16">
        <v>2.04</v>
      </c>
      <c r="D13" s="4"/>
      <c r="E13" s="16">
        <v>1.96</v>
      </c>
      <c r="F13" s="4"/>
      <c r="G13" s="16">
        <v>1.65</v>
      </c>
      <c r="H13" s="4"/>
      <c r="I13" s="16">
        <v>3.11</v>
      </c>
      <c r="J13" s="4"/>
      <c r="K13" s="16">
        <v>10.52</v>
      </c>
      <c r="L13" s="4"/>
      <c r="M13" s="16">
        <v>50.3</v>
      </c>
      <c r="N13" s="4"/>
      <c r="O13" s="16">
        <v>183.09</v>
      </c>
      <c r="P13" s="4"/>
      <c r="Q13" s="16">
        <v>252.93</v>
      </c>
      <c r="R13" s="16">
        <v>-1138.72</v>
      </c>
      <c r="S13" s="16">
        <v>252.71</v>
      </c>
      <c r="T13" s="4"/>
      <c r="U13" s="16">
        <v>34.99</v>
      </c>
      <c r="V13" s="4"/>
      <c r="W13" s="16">
        <v>2.62</v>
      </c>
      <c r="X13" s="4"/>
      <c r="Y13" s="16">
        <v>2.12</v>
      </c>
      <c r="Z13" s="4"/>
      <c r="AA13" s="4"/>
      <c r="AB13" s="42">
        <f t="shared" si="0"/>
        <v>-340.67999999999995</v>
      </c>
    </row>
    <row r="14" spans="1:28" ht="16.5" thickBot="1">
      <c r="A14" s="48" t="s">
        <v>4</v>
      </c>
      <c r="B14" s="47" t="s">
        <v>100</v>
      </c>
      <c r="C14" s="46">
        <v>11.18</v>
      </c>
      <c r="D14" s="45"/>
      <c r="E14" s="46">
        <v>180.11</v>
      </c>
      <c r="F14" s="45"/>
      <c r="G14" s="46">
        <v>67.48</v>
      </c>
      <c r="H14" s="45"/>
      <c r="I14" s="46">
        <v>327.13</v>
      </c>
      <c r="J14" s="45"/>
      <c r="K14" s="46">
        <v>546.29</v>
      </c>
      <c r="L14" s="45"/>
      <c r="M14" s="46">
        <v>768.87</v>
      </c>
      <c r="N14" s="45"/>
      <c r="O14" s="46">
        <v>300</v>
      </c>
      <c r="P14" s="46">
        <v>-1315.16</v>
      </c>
      <c r="Q14" s="46">
        <v>173.03</v>
      </c>
      <c r="R14" s="45"/>
      <c r="S14" s="46">
        <v>753.58</v>
      </c>
      <c r="T14" s="46">
        <v>-1726.61</v>
      </c>
      <c r="U14" s="46">
        <v>511.26</v>
      </c>
      <c r="V14" s="45"/>
      <c r="W14" s="46">
        <v>94.93</v>
      </c>
      <c r="X14" s="45"/>
      <c r="Y14" s="46">
        <v>210.3</v>
      </c>
      <c r="Z14" s="45"/>
      <c r="AA14" s="45"/>
      <c r="AB14" s="42">
        <f t="shared" si="0"/>
        <v>902.38999999999987</v>
      </c>
    </row>
    <row r="15" spans="1:28" ht="16.5" thickBot="1">
      <c r="A15" s="48" t="s">
        <v>5</v>
      </c>
      <c r="B15" s="47" t="s">
        <v>207</v>
      </c>
      <c r="C15" s="46">
        <v>10.56</v>
      </c>
      <c r="D15" s="45"/>
      <c r="E15" s="46">
        <v>3.85</v>
      </c>
      <c r="F15" s="45"/>
      <c r="G15" s="46">
        <v>3.14</v>
      </c>
      <c r="H15" s="45"/>
      <c r="I15" s="46">
        <v>4.42</v>
      </c>
      <c r="J15" s="45"/>
      <c r="K15" s="46">
        <v>12.63</v>
      </c>
      <c r="L15" s="45"/>
      <c r="M15" s="46">
        <v>94.2</v>
      </c>
      <c r="N15" s="45"/>
      <c r="O15" s="46">
        <v>83.25</v>
      </c>
      <c r="P15" s="45"/>
      <c r="Q15" s="46">
        <v>185.49</v>
      </c>
      <c r="R15" s="45"/>
      <c r="S15" s="46">
        <v>262.18</v>
      </c>
      <c r="T15" s="45"/>
      <c r="U15" s="46">
        <v>21.01</v>
      </c>
      <c r="V15" s="45"/>
      <c r="W15" s="46">
        <v>17.55</v>
      </c>
      <c r="X15" s="45"/>
      <c r="Y15" s="46">
        <v>1.7</v>
      </c>
      <c r="Z15" s="45"/>
      <c r="AA15" s="45"/>
      <c r="AB15" s="42">
        <f t="shared" si="0"/>
        <v>699.98</v>
      </c>
    </row>
    <row r="16" spans="1:28" ht="16.5" thickBot="1">
      <c r="A16" s="1" t="s">
        <v>6</v>
      </c>
      <c r="B16" s="36" t="s">
        <v>101</v>
      </c>
      <c r="C16" s="16">
        <v>1.63</v>
      </c>
      <c r="D16" s="4"/>
      <c r="E16" s="16">
        <v>2.95</v>
      </c>
      <c r="F16" s="4"/>
      <c r="G16" s="16" t="s">
        <v>202</v>
      </c>
      <c r="H16" s="4"/>
      <c r="I16" s="16" t="s">
        <v>202</v>
      </c>
      <c r="J16" s="4"/>
      <c r="K16" s="16">
        <v>201.44</v>
      </c>
      <c r="L16" s="4"/>
      <c r="M16" s="16">
        <v>408.85</v>
      </c>
      <c r="N16" s="4"/>
      <c r="O16" s="16">
        <v>287.52</v>
      </c>
      <c r="P16" s="4"/>
      <c r="Q16" s="16">
        <v>311.25</v>
      </c>
      <c r="R16" s="4"/>
      <c r="S16" s="16" t="s">
        <v>202</v>
      </c>
      <c r="T16" s="16">
        <v>-2793.48</v>
      </c>
      <c r="U16" s="16">
        <v>166.19</v>
      </c>
      <c r="V16" s="4"/>
      <c r="W16" s="16">
        <v>18.239999999999998</v>
      </c>
      <c r="X16" s="4"/>
      <c r="Y16" s="16">
        <v>27.45</v>
      </c>
      <c r="Z16" s="4"/>
      <c r="AA16" s="4"/>
      <c r="AB16" s="42">
        <f t="shared" si="0"/>
        <v>-1367.96</v>
      </c>
    </row>
    <row r="17" spans="1:28" ht="16.5" thickBot="1">
      <c r="A17" s="1" t="s">
        <v>7</v>
      </c>
      <c r="B17" s="36" t="s">
        <v>102</v>
      </c>
      <c r="C17" s="16">
        <v>10.75</v>
      </c>
      <c r="D17" s="4"/>
      <c r="E17" s="16">
        <v>413.74</v>
      </c>
      <c r="F17" s="4"/>
      <c r="G17" s="16">
        <v>15.66</v>
      </c>
      <c r="H17" s="4"/>
      <c r="I17" s="16">
        <v>28.7</v>
      </c>
      <c r="J17" s="4"/>
      <c r="K17" s="16">
        <v>898.67</v>
      </c>
      <c r="L17" s="4"/>
      <c r="M17" s="16">
        <v>673.07</v>
      </c>
      <c r="N17" s="4"/>
      <c r="O17" s="16">
        <v>518.71</v>
      </c>
      <c r="P17" s="4"/>
      <c r="Q17" s="16">
        <v>965.71</v>
      </c>
      <c r="R17" s="4"/>
      <c r="S17" s="16">
        <v>730.01</v>
      </c>
      <c r="T17" s="4"/>
      <c r="U17" s="16">
        <v>851.6</v>
      </c>
      <c r="V17" s="16">
        <v>-14122.55</v>
      </c>
      <c r="W17" s="16">
        <v>144.72</v>
      </c>
      <c r="X17" s="4"/>
      <c r="Y17" s="16">
        <v>12.6</v>
      </c>
      <c r="Z17" s="4"/>
      <c r="AA17" s="4"/>
      <c r="AB17" s="42">
        <f t="shared" si="0"/>
        <v>-8858.6099999999988</v>
      </c>
    </row>
    <row r="18" spans="1:28" ht="16.5" thickBot="1">
      <c r="A18" s="1" t="s">
        <v>8</v>
      </c>
      <c r="B18" s="36" t="s">
        <v>103</v>
      </c>
      <c r="C18" s="16">
        <v>2.86</v>
      </c>
      <c r="D18" s="4"/>
      <c r="E18" s="16">
        <v>2.85</v>
      </c>
      <c r="F18" s="4"/>
      <c r="G18" s="16">
        <v>2.34</v>
      </c>
      <c r="H18" s="4"/>
      <c r="I18" s="16">
        <v>3.27</v>
      </c>
      <c r="J18" s="4"/>
      <c r="K18" s="16">
        <v>206.94</v>
      </c>
      <c r="L18" s="4"/>
      <c r="M18" s="16">
        <v>224.55</v>
      </c>
      <c r="N18" s="4"/>
      <c r="O18" s="16">
        <v>214.19</v>
      </c>
      <c r="P18" s="16">
        <v>-293.41000000000003</v>
      </c>
      <c r="Q18" s="16">
        <v>282.67</v>
      </c>
      <c r="R18" s="16">
        <v>-438.74</v>
      </c>
      <c r="S18" s="16">
        <v>286.93</v>
      </c>
      <c r="T18" s="16">
        <v>-282.67</v>
      </c>
      <c r="U18" s="16">
        <v>69.84</v>
      </c>
      <c r="V18" s="16">
        <v>-287</v>
      </c>
      <c r="W18" s="16">
        <v>2.97</v>
      </c>
      <c r="X18" s="4"/>
      <c r="Y18" s="16">
        <v>2.93</v>
      </c>
      <c r="Z18" s="4"/>
      <c r="AA18" s="4"/>
      <c r="AB18" s="42">
        <f t="shared" si="0"/>
        <v>0.5200000000000049</v>
      </c>
    </row>
    <row r="19" spans="1:28" ht="16.5" thickBot="1">
      <c r="A19" s="1" t="s">
        <v>9</v>
      </c>
      <c r="B19" s="36" t="s">
        <v>104</v>
      </c>
      <c r="C19" s="16">
        <v>2.17</v>
      </c>
      <c r="D19" s="4"/>
      <c r="E19" s="16">
        <v>2.16</v>
      </c>
      <c r="F19" s="4"/>
      <c r="G19" s="16">
        <v>1.75</v>
      </c>
      <c r="H19" s="4"/>
      <c r="I19" s="16">
        <v>2.46</v>
      </c>
      <c r="J19" s="4"/>
      <c r="K19" s="16">
        <v>45.1</v>
      </c>
      <c r="L19" s="4"/>
      <c r="M19" s="16">
        <v>68.150000000000006</v>
      </c>
      <c r="N19" s="4"/>
      <c r="O19" s="16">
        <v>66.19</v>
      </c>
      <c r="P19" s="16">
        <v>-76.36</v>
      </c>
      <c r="Q19" s="16">
        <v>263.25</v>
      </c>
      <c r="R19" s="4"/>
      <c r="S19" s="16">
        <v>126.93</v>
      </c>
      <c r="T19" s="16">
        <v>-134.34</v>
      </c>
      <c r="U19" s="16">
        <v>21.59</v>
      </c>
      <c r="V19" s="16">
        <v>-263.25</v>
      </c>
      <c r="W19" s="16">
        <v>5.09</v>
      </c>
      <c r="X19" s="16">
        <f>-24-126.93</f>
        <v>-150.93</v>
      </c>
      <c r="Y19" s="16" t="s">
        <v>202</v>
      </c>
      <c r="Z19" s="4"/>
      <c r="AA19" s="4"/>
      <c r="AB19" s="42">
        <f t="shared" si="0"/>
        <v>-20.039999999999992</v>
      </c>
    </row>
    <row r="20" spans="1:28" ht="16.5" thickBot="1">
      <c r="A20" s="48" t="s">
        <v>10</v>
      </c>
      <c r="B20" s="47" t="s">
        <v>105</v>
      </c>
      <c r="C20" s="46">
        <v>2.66</v>
      </c>
      <c r="D20" s="45"/>
      <c r="E20" s="46">
        <v>2.61</v>
      </c>
      <c r="F20" s="45"/>
      <c r="G20" s="46">
        <v>2.14</v>
      </c>
      <c r="H20" s="45"/>
      <c r="I20" s="46">
        <v>8.58</v>
      </c>
      <c r="J20" s="45"/>
      <c r="K20" s="46">
        <v>113.98</v>
      </c>
      <c r="L20" s="45"/>
      <c r="M20" s="46">
        <v>178.58</v>
      </c>
      <c r="N20" s="46">
        <v>-232.84</v>
      </c>
      <c r="O20" s="46">
        <v>142.43</v>
      </c>
      <c r="P20" s="45"/>
      <c r="Q20" s="46">
        <v>207.18</v>
      </c>
      <c r="R20" s="46">
        <v>-321.01</v>
      </c>
      <c r="S20" s="46">
        <v>171.43</v>
      </c>
      <c r="T20" s="45"/>
      <c r="U20" s="46">
        <v>299.91000000000003</v>
      </c>
      <c r="V20" s="46">
        <v>-378.61</v>
      </c>
      <c r="W20" s="46">
        <v>17.32</v>
      </c>
      <c r="X20" s="46">
        <v>-299.91000000000003</v>
      </c>
      <c r="Y20" s="46">
        <v>3.16</v>
      </c>
      <c r="Z20" s="45"/>
      <c r="AA20" s="45"/>
      <c r="AB20" s="42">
        <f t="shared" si="0"/>
        <v>-82.389999999999958</v>
      </c>
    </row>
    <row r="21" spans="1:28" ht="16.5" thickBot="1">
      <c r="A21" s="48" t="s">
        <v>11</v>
      </c>
      <c r="B21" s="47" t="s">
        <v>106</v>
      </c>
      <c r="C21" s="46">
        <v>6.89</v>
      </c>
      <c r="D21" s="45"/>
      <c r="E21" s="46">
        <v>6.88</v>
      </c>
      <c r="F21" s="45"/>
      <c r="G21" s="46">
        <v>6.41</v>
      </c>
      <c r="H21" s="45"/>
      <c r="I21" s="46">
        <v>6.95</v>
      </c>
      <c r="J21" s="45"/>
      <c r="K21" s="46">
        <v>521.59</v>
      </c>
      <c r="L21" s="45"/>
      <c r="M21" s="46">
        <v>533.21</v>
      </c>
      <c r="N21" s="45"/>
      <c r="O21" s="46">
        <v>768.68</v>
      </c>
      <c r="P21" s="46">
        <v>-1248.95</v>
      </c>
      <c r="Q21" s="46">
        <v>248.81</v>
      </c>
      <c r="R21" s="45"/>
      <c r="S21" s="46" t="s">
        <v>202</v>
      </c>
      <c r="T21" s="46">
        <v>-1550.7</v>
      </c>
      <c r="U21" s="46">
        <v>217.46</v>
      </c>
      <c r="V21" s="45"/>
      <c r="W21" s="46">
        <v>1.04</v>
      </c>
      <c r="X21" s="45"/>
      <c r="Y21" s="46">
        <v>0.6</v>
      </c>
      <c r="Z21" s="45"/>
      <c r="AA21" s="45"/>
      <c r="AB21" s="42">
        <f t="shared" si="0"/>
        <v>-481.12999999999994</v>
      </c>
    </row>
    <row r="22" spans="1:28" ht="16.5" thickBot="1">
      <c r="A22" s="1" t="s">
        <v>12</v>
      </c>
      <c r="B22" s="36" t="s">
        <v>107</v>
      </c>
      <c r="C22" s="16">
        <v>165.82</v>
      </c>
      <c r="D22" s="4"/>
      <c r="E22" s="16">
        <v>1.54</v>
      </c>
      <c r="F22" s="16">
        <v>-165.82</v>
      </c>
      <c r="G22" s="16">
        <v>26.01</v>
      </c>
      <c r="H22" s="4"/>
      <c r="I22" s="16">
        <v>73.349999999999994</v>
      </c>
      <c r="J22" s="4"/>
      <c r="K22" s="16">
        <v>258.87</v>
      </c>
      <c r="L22" s="4"/>
      <c r="M22" s="16">
        <v>210.75</v>
      </c>
      <c r="N22" s="4"/>
      <c r="O22" s="16">
        <v>105.28</v>
      </c>
      <c r="P22" s="16">
        <v>-929.15</v>
      </c>
      <c r="Q22" s="16">
        <v>75.930000000000007</v>
      </c>
      <c r="R22" s="4"/>
      <c r="S22" s="16" t="s">
        <v>202</v>
      </c>
      <c r="T22" s="4"/>
      <c r="U22" s="16">
        <v>263.66000000000003</v>
      </c>
      <c r="V22" s="4"/>
      <c r="W22" s="16">
        <v>390.08</v>
      </c>
      <c r="X22" s="16">
        <v>-444.87</v>
      </c>
      <c r="Y22" s="16">
        <v>68.3</v>
      </c>
      <c r="Z22" s="4"/>
      <c r="AA22" s="4"/>
      <c r="AB22" s="42">
        <f t="shared" si="0"/>
        <v>99.749999999999986</v>
      </c>
    </row>
    <row r="23" spans="1:28" ht="16.5" thickBot="1">
      <c r="A23" s="1" t="s">
        <v>13</v>
      </c>
      <c r="B23" s="36" t="s">
        <v>108</v>
      </c>
      <c r="C23" s="16">
        <v>11.81</v>
      </c>
      <c r="D23" s="4"/>
      <c r="E23" s="16">
        <v>11.71</v>
      </c>
      <c r="F23" s="4"/>
      <c r="G23" s="16">
        <v>9.6</v>
      </c>
      <c r="H23" s="4"/>
      <c r="I23" s="16">
        <v>14.06</v>
      </c>
      <c r="J23" s="4"/>
      <c r="K23" s="16">
        <v>180.9</v>
      </c>
      <c r="L23" s="4"/>
      <c r="M23" s="16">
        <v>479.63</v>
      </c>
      <c r="N23" s="16">
        <v>-402.15</v>
      </c>
      <c r="O23" s="16">
        <v>430.43</v>
      </c>
      <c r="P23" s="4"/>
      <c r="Q23" s="16">
        <v>545.35</v>
      </c>
      <c r="R23" s="4"/>
      <c r="S23" s="16">
        <v>608.66999999999996</v>
      </c>
      <c r="T23" s="16">
        <f>-910.06-1045.35</f>
        <v>-1955.4099999999999</v>
      </c>
      <c r="U23" s="16">
        <v>105.12</v>
      </c>
      <c r="V23" s="4"/>
      <c r="W23" s="16">
        <v>13</v>
      </c>
      <c r="X23" s="4"/>
      <c r="Y23" s="16">
        <v>12.19</v>
      </c>
      <c r="Z23" s="4"/>
      <c r="AA23" s="4"/>
      <c r="AB23" s="42">
        <f t="shared" si="0"/>
        <v>64.910000000000366</v>
      </c>
    </row>
    <row r="24" spans="1:28" ht="16.5" thickBot="1">
      <c r="A24" s="1" t="s">
        <v>14</v>
      </c>
      <c r="B24" s="36" t="s">
        <v>109</v>
      </c>
      <c r="C24" s="16">
        <v>634.64</v>
      </c>
      <c r="D24" s="4"/>
      <c r="E24" s="16">
        <v>25.84</v>
      </c>
      <c r="F24" s="4"/>
      <c r="G24" s="16">
        <v>21.33</v>
      </c>
      <c r="H24" s="4"/>
      <c r="I24" s="16">
        <v>30.06</v>
      </c>
      <c r="J24" s="4"/>
      <c r="K24" s="16">
        <v>675.48</v>
      </c>
      <c r="L24" s="4"/>
      <c r="M24" s="16">
        <v>1123.1199999999999</v>
      </c>
      <c r="N24" s="16">
        <v>-1029.76</v>
      </c>
      <c r="O24" s="16">
        <v>1074.53</v>
      </c>
      <c r="P24" s="4"/>
      <c r="Q24" s="16">
        <v>1511.97</v>
      </c>
      <c r="R24" s="16">
        <v>-2197.65</v>
      </c>
      <c r="S24" s="16">
        <v>1875.34</v>
      </c>
      <c r="T24" s="16">
        <v>-1511.97</v>
      </c>
      <c r="U24" s="16">
        <v>2082.6799999999998</v>
      </c>
      <c r="V24" s="16">
        <v>-1887.34</v>
      </c>
      <c r="W24" s="16">
        <v>307.17</v>
      </c>
      <c r="X24" s="4"/>
      <c r="Y24" s="16">
        <v>317.68</v>
      </c>
      <c r="Z24" s="94">
        <v>-2000</v>
      </c>
      <c r="AA24" s="94"/>
      <c r="AB24" s="42">
        <f t="shared" si="0"/>
        <v>1053.1199999999985</v>
      </c>
    </row>
    <row r="25" spans="1:28" ht="16.5" thickBot="1">
      <c r="A25" s="48" t="s">
        <v>15</v>
      </c>
      <c r="B25" s="47" t="s">
        <v>110</v>
      </c>
      <c r="C25" s="46">
        <v>396.99</v>
      </c>
      <c r="D25" s="45"/>
      <c r="E25" s="46">
        <v>284.99</v>
      </c>
      <c r="F25" s="45"/>
      <c r="G25" s="46">
        <v>295.22000000000003</v>
      </c>
      <c r="H25" s="45"/>
      <c r="I25" s="46">
        <v>815.68</v>
      </c>
      <c r="J25" s="45"/>
      <c r="K25" s="46">
        <v>447.45</v>
      </c>
      <c r="L25" s="45"/>
      <c r="M25" s="46">
        <v>624.45000000000005</v>
      </c>
      <c r="N25" s="45"/>
      <c r="O25" s="46">
        <v>1188.26</v>
      </c>
      <c r="P25" s="45"/>
      <c r="Q25" s="46">
        <v>1108.9000000000001</v>
      </c>
      <c r="R25" s="45"/>
      <c r="S25" s="46">
        <v>540.29</v>
      </c>
      <c r="T25" s="45"/>
      <c r="U25" s="46">
        <v>264.02999999999997</v>
      </c>
      <c r="V25" s="45"/>
      <c r="W25" s="46">
        <v>261.02</v>
      </c>
      <c r="X25" s="45"/>
      <c r="Y25" s="46">
        <v>341.17</v>
      </c>
      <c r="Z25" s="45"/>
      <c r="AA25" s="45"/>
      <c r="AB25" s="42">
        <f t="shared" si="0"/>
        <v>6568.4500000000007</v>
      </c>
    </row>
    <row r="26" spans="1:28" ht="16.5" thickBot="1">
      <c r="A26" s="1" t="s">
        <v>16</v>
      </c>
      <c r="B26" s="36" t="s">
        <v>111</v>
      </c>
      <c r="C26" s="16">
        <v>3.17</v>
      </c>
      <c r="D26" s="4"/>
      <c r="E26" s="16">
        <v>3.07</v>
      </c>
      <c r="F26" s="4"/>
      <c r="G26" s="16">
        <v>2.5499999999999998</v>
      </c>
      <c r="H26" s="4"/>
      <c r="I26" s="16">
        <v>3.6</v>
      </c>
      <c r="J26" s="4"/>
      <c r="K26" s="16">
        <v>3.08</v>
      </c>
      <c r="L26" s="4"/>
      <c r="M26" s="16">
        <v>93.37</v>
      </c>
      <c r="N26" s="4"/>
      <c r="O26" s="16">
        <v>247.26</v>
      </c>
      <c r="P26" s="94"/>
      <c r="Q26" s="16">
        <v>725.66</v>
      </c>
      <c r="R26" s="4"/>
      <c r="S26" s="16">
        <v>302.98</v>
      </c>
      <c r="T26" s="16">
        <v>-956.13</v>
      </c>
      <c r="U26" s="16">
        <v>14.88</v>
      </c>
      <c r="V26" s="4"/>
      <c r="W26" s="16">
        <v>3.34</v>
      </c>
      <c r="X26" s="4"/>
      <c r="Y26" s="16">
        <v>3.2</v>
      </c>
      <c r="Z26" s="4"/>
      <c r="AA26" s="4"/>
      <c r="AB26" s="42">
        <f t="shared" si="0"/>
        <v>450.03</v>
      </c>
    </row>
    <row r="27" spans="1:28" ht="16.5" thickBot="1">
      <c r="A27" s="1" t="s">
        <v>17</v>
      </c>
      <c r="B27" s="36" t="s">
        <v>112</v>
      </c>
      <c r="C27" s="16">
        <v>148.74</v>
      </c>
      <c r="D27" s="4"/>
      <c r="E27" s="16" t="s">
        <v>202</v>
      </c>
      <c r="F27" s="4"/>
      <c r="G27" s="16">
        <v>85.28</v>
      </c>
      <c r="H27" s="4"/>
      <c r="I27" s="16">
        <v>14.63</v>
      </c>
      <c r="J27" s="4"/>
      <c r="K27" s="16">
        <v>418.8</v>
      </c>
      <c r="L27" s="4"/>
      <c r="M27" s="16">
        <v>538.37</v>
      </c>
      <c r="N27" s="16">
        <v>-600</v>
      </c>
      <c r="O27" s="16">
        <v>548.30999999999995</v>
      </c>
      <c r="P27" s="16">
        <v>-1225.4000000000001</v>
      </c>
      <c r="Q27" s="16">
        <v>696.78</v>
      </c>
      <c r="R27" s="16">
        <v>-550</v>
      </c>
      <c r="S27" s="16">
        <v>619.28</v>
      </c>
      <c r="T27" s="16">
        <v>-696.78</v>
      </c>
      <c r="U27" s="16">
        <v>73.5</v>
      </c>
      <c r="V27" s="4"/>
      <c r="W27" s="16">
        <v>44.43</v>
      </c>
      <c r="X27" s="4"/>
      <c r="Y27" s="16">
        <v>17.55</v>
      </c>
      <c r="Z27" s="4"/>
      <c r="AA27" s="4"/>
      <c r="AB27" s="42">
        <f t="shared" si="0"/>
        <v>133.49</v>
      </c>
    </row>
    <row r="28" spans="1:28" ht="16.5" thickBot="1">
      <c r="A28" s="1" t="s">
        <v>18</v>
      </c>
      <c r="B28" s="36" t="s">
        <v>113</v>
      </c>
      <c r="C28" s="16">
        <v>2.85</v>
      </c>
      <c r="D28" s="4"/>
      <c r="E28" s="16">
        <v>2.79</v>
      </c>
      <c r="F28" s="4"/>
      <c r="G28" s="16">
        <v>2.2999999999999998</v>
      </c>
      <c r="H28" s="4"/>
      <c r="I28" s="16">
        <v>3.25</v>
      </c>
      <c r="J28" s="4"/>
      <c r="K28" s="16">
        <v>30.36</v>
      </c>
      <c r="L28" s="4"/>
      <c r="M28" s="16">
        <v>87.89</v>
      </c>
      <c r="N28" s="4"/>
      <c r="O28" s="16">
        <v>136.37</v>
      </c>
      <c r="P28" s="4"/>
      <c r="Q28" s="16">
        <v>69.63</v>
      </c>
      <c r="R28" s="4"/>
      <c r="S28" s="16">
        <v>216.04</v>
      </c>
      <c r="T28" s="16">
        <v>-1018.84</v>
      </c>
      <c r="U28" s="16">
        <v>71.400000000000006</v>
      </c>
      <c r="V28" s="16">
        <v>-216.04</v>
      </c>
      <c r="W28" s="16">
        <v>2.97</v>
      </c>
      <c r="X28" s="4"/>
      <c r="Y28" s="16">
        <v>2.86</v>
      </c>
      <c r="Z28" s="4"/>
      <c r="AA28" s="4"/>
      <c r="AB28" s="42">
        <f t="shared" si="0"/>
        <v>-606.16999999999996</v>
      </c>
    </row>
    <row r="29" spans="1:28" ht="16.5" thickBot="1">
      <c r="A29" s="1" t="s">
        <v>19</v>
      </c>
      <c r="B29" s="36" t="s">
        <v>114</v>
      </c>
      <c r="C29" s="16" t="s">
        <v>202</v>
      </c>
      <c r="D29" s="4"/>
      <c r="E29" s="16" t="s">
        <v>202</v>
      </c>
      <c r="F29" s="4"/>
      <c r="G29" s="16" t="s">
        <v>202</v>
      </c>
      <c r="H29" s="4"/>
      <c r="I29" s="16" t="s">
        <v>202</v>
      </c>
      <c r="J29" s="4"/>
      <c r="K29" s="16">
        <v>210.19</v>
      </c>
      <c r="L29" s="4"/>
      <c r="M29" s="16">
        <v>162.84</v>
      </c>
      <c r="N29" s="72">
        <v>-461.01</v>
      </c>
      <c r="O29" s="16">
        <v>454.35</v>
      </c>
      <c r="P29" s="4"/>
      <c r="Q29" s="16">
        <v>529.21</v>
      </c>
      <c r="R29" s="4"/>
      <c r="S29" s="16">
        <v>267.17</v>
      </c>
      <c r="T29" s="16">
        <f>-983.56</f>
        <v>-983.56</v>
      </c>
      <c r="U29" s="16">
        <v>95.24</v>
      </c>
      <c r="V29" s="4"/>
      <c r="W29" s="16" t="s">
        <v>202</v>
      </c>
      <c r="X29" s="4"/>
      <c r="Y29" s="16" t="s">
        <v>202</v>
      </c>
      <c r="Z29" s="4"/>
      <c r="AA29" s="4"/>
      <c r="AB29" s="42">
        <f t="shared" si="0"/>
        <v>274.43000000000006</v>
      </c>
    </row>
    <row r="30" spans="1:28" ht="16.5" thickBot="1">
      <c r="A30" s="48" t="s">
        <v>20</v>
      </c>
      <c r="B30" s="47" t="s">
        <v>206</v>
      </c>
      <c r="C30" s="46">
        <v>624.42999999999995</v>
      </c>
      <c r="D30" s="45"/>
      <c r="E30" s="46">
        <v>378.68</v>
      </c>
      <c r="F30" s="45"/>
      <c r="G30" s="46">
        <v>112.97</v>
      </c>
      <c r="H30" s="45"/>
      <c r="I30" s="46">
        <v>1575.12</v>
      </c>
      <c r="J30" s="45"/>
      <c r="K30" s="46">
        <v>1707.83</v>
      </c>
      <c r="L30" s="45"/>
      <c r="M30" s="46">
        <v>2234.2399999999998</v>
      </c>
      <c r="N30" s="45"/>
      <c r="O30" s="46">
        <v>1961.13</v>
      </c>
      <c r="P30" s="45"/>
      <c r="Q30" s="46">
        <v>2025.84</v>
      </c>
      <c r="R30" s="45"/>
      <c r="S30" s="46">
        <v>1872.54</v>
      </c>
      <c r="T30" s="46">
        <v>-6221.21</v>
      </c>
      <c r="U30" s="46">
        <v>2339.35</v>
      </c>
      <c r="V30" s="45"/>
      <c r="W30" s="46">
        <v>2013.27</v>
      </c>
      <c r="X30" s="45"/>
      <c r="Y30" s="46">
        <v>1125.17</v>
      </c>
      <c r="Z30" s="45"/>
      <c r="AA30" s="45"/>
      <c r="AB30" s="42">
        <f t="shared" si="0"/>
        <v>11749.359999999999</v>
      </c>
    </row>
    <row r="31" spans="1:28" ht="16.5" thickBot="1">
      <c r="A31" s="1" t="s">
        <v>21</v>
      </c>
      <c r="B31" s="36" t="s">
        <v>115</v>
      </c>
      <c r="C31" s="16" t="s">
        <v>202</v>
      </c>
      <c r="D31" s="4"/>
      <c r="E31" s="16">
        <v>0.16</v>
      </c>
      <c r="F31" s="4"/>
      <c r="G31" s="16">
        <v>0.01</v>
      </c>
      <c r="H31" s="4"/>
      <c r="I31" s="16">
        <v>0.23</v>
      </c>
      <c r="J31" s="4"/>
      <c r="K31" s="16">
        <v>196.93</v>
      </c>
      <c r="L31" s="4"/>
      <c r="M31" s="16">
        <v>770.41</v>
      </c>
      <c r="N31" s="4"/>
      <c r="O31" s="16">
        <v>446.37</v>
      </c>
      <c r="P31" s="16">
        <v>-7858.51</v>
      </c>
      <c r="Q31" s="16">
        <v>587.9</v>
      </c>
      <c r="R31" s="4"/>
      <c r="S31" s="16">
        <v>1064.6400000000001</v>
      </c>
      <c r="T31" s="16">
        <v>-3004.26</v>
      </c>
      <c r="U31" s="16">
        <v>9.8699999999999992</v>
      </c>
      <c r="V31" s="4"/>
      <c r="W31" s="16">
        <v>3.17</v>
      </c>
      <c r="X31" s="4"/>
      <c r="Y31" s="16">
        <v>1.5</v>
      </c>
      <c r="Z31" s="4"/>
      <c r="AA31" s="4"/>
      <c r="AB31" s="42">
        <f t="shared" si="0"/>
        <v>-7781.58</v>
      </c>
    </row>
    <row r="32" spans="1:28" ht="16.5" thickBot="1">
      <c r="A32" s="1" t="s">
        <v>22</v>
      </c>
      <c r="B32" s="36" t="s">
        <v>116</v>
      </c>
      <c r="C32" s="16">
        <v>3.57</v>
      </c>
      <c r="D32" s="4"/>
      <c r="E32" s="16">
        <v>3.87</v>
      </c>
      <c r="F32" s="4"/>
      <c r="G32" s="16">
        <v>2.95</v>
      </c>
      <c r="H32" s="4"/>
      <c r="I32" s="16">
        <v>3.96</v>
      </c>
      <c r="J32" s="4"/>
      <c r="K32" s="16">
        <v>47.61</v>
      </c>
      <c r="L32" s="4"/>
      <c r="M32" s="16">
        <v>154.27000000000001</v>
      </c>
      <c r="N32" s="16">
        <v>-75.98</v>
      </c>
      <c r="O32" s="16">
        <v>233.01</v>
      </c>
      <c r="P32" s="4"/>
      <c r="Q32" s="16">
        <v>275.37</v>
      </c>
      <c r="R32" s="4"/>
      <c r="S32" s="16">
        <v>58.94</v>
      </c>
      <c r="T32" s="16">
        <f>-434.89-227.76</f>
        <v>-662.65</v>
      </c>
      <c r="U32" s="16">
        <v>34.520000000000003</v>
      </c>
      <c r="V32" s="4"/>
      <c r="W32" s="16">
        <v>7.67</v>
      </c>
      <c r="X32" s="4"/>
      <c r="Y32" s="16">
        <v>3.86</v>
      </c>
      <c r="Z32" s="4"/>
      <c r="AA32" s="4"/>
      <c r="AB32" s="42">
        <f t="shared" si="0"/>
        <v>90.96999999999997</v>
      </c>
    </row>
    <row r="33" spans="1:28" ht="16.5" thickBot="1">
      <c r="A33" s="1" t="s">
        <v>23</v>
      </c>
      <c r="B33" s="36" t="s">
        <v>117</v>
      </c>
      <c r="C33" s="16">
        <v>2.91</v>
      </c>
      <c r="D33" s="4"/>
      <c r="E33" s="16">
        <v>3.36</v>
      </c>
      <c r="F33" s="4"/>
      <c r="G33" s="16">
        <v>22.64</v>
      </c>
      <c r="H33" s="4"/>
      <c r="I33" s="16">
        <v>7.21</v>
      </c>
      <c r="J33" s="4"/>
      <c r="K33" s="16">
        <v>51.46</v>
      </c>
      <c r="L33" s="4"/>
      <c r="M33" s="16">
        <v>363.68</v>
      </c>
      <c r="N33" s="4"/>
      <c r="O33" s="16">
        <v>754.08</v>
      </c>
      <c r="P33" s="16">
        <v>-1200</v>
      </c>
      <c r="Q33" s="16">
        <v>983.08</v>
      </c>
      <c r="R33" s="4"/>
      <c r="S33" s="16">
        <v>2532.6999999999998</v>
      </c>
      <c r="T33" s="16">
        <f>-983.08-1000</f>
        <v>-1983.08</v>
      </c>
      <c r="U33" s="16">
        <v>125.08</v>
      </c>
      <c r="V33" s="4"/>
      <c r="W33" s="16">
        <v>5.3</v>
      </c>
      <c r="X33" s="4"/>
      <c r="Y33" s="16">
        <v>2.97</v>
      </c>
      <c r="Z33" s="4"/>
      <c r="AA33" s="4"/>
      <c r="AB33" s="42">
        <f t="shared" si="0"/>
        <v>1671.3899999999999</v>
      </c>
    </row>
    <row r="34" spans="1:28" ht="16.5" thickBot="1">
      <c r="A34" s="1" t="s">
        <v>24</v>
      </c>
      <c r="B34" s="36" t="s">
        <v>118</v>
      </c>
      <c r="C34" s="16">
        <v>2.56</v>
      </c>
      <c r="D34" s="4"/>
      <c r="E34" s="16">
        <v>2.4900000000000002</v>
      </c>
      <c r="F34" s="4"/>
      <c r="G34" s="16">
        <v>2.0499999999999998</v>
      </c>
      <c r="H34" s="4"/>
      <c r="I34" s="16">
        <v>2.91</v>
      </c>
      <c r="J34" s="4"/>
      <c r="K34" s="16">
        <v>58.91</v>
      </c>
      <c r="L34" s="4"/>
      <c r="M34" s="16">
        <v>179.74</v>
      </c>
      <c r="N34" s="16">
        <v>-101.59</v>
      </c>
      <c r="O34" s="16">
        <v>145.18</v>
      </c>
      <c r="P34" s="4"/>
      <c r="Q34" s="16">
        <v>48.1</v>
      </c>
      <c r="R34" s="4"/>
      <c r="S34" s="16" t="s">
        <v>202</v>
      </c>
      <c r="T34" s="16">
        <v>-373.02</v>
      </c>
      <c r="U34" s="16">
        <v>15.99</v>
      </c>
      <c r="V34" s="4"/>
      <c r="W34" s="16">
        <v>3.09</v>
      </c>
      <c r="X34" s="4"/>
      <c r="Y34" s="16">
        <v>3.08</v>
      </c>
      <c r="Z34" s="4"/>
      <c r="AA34" s="4"/>
      <c r="AB34" s="42">
        <f t="shared" si="0"/>
        <v>-10.509999999999957</v>
      </c>
    </row>
    <row r="35" spans="1:28" ht="16.5" thickBot="1">
      <c r="A35" s="1" t="s">
        <v>25</v>
      </c>
      <c r="B35" s="36" t="s">
        <v>119</v>
      </c>
      <c r="C35" s="16" t="s">
        <v>202</v>
      </c>
      <c r="D35" s="4"/>
      <c r="E35" s="16" t="s">
        <v>202</v>
      </c>
      <c r="F35" s="4"/>
      <c r="G35" s="16" t="s">
        <v>202</v>
      </c>
      <c r="H35" s="4"/>
      <c r="I35" s="16">
        <v>2.6</v>
      </c>
      <c r="J35" s="4"/>
      <c r="K35" s="16">
        <v>137.16</v>
      </c>
      <c r="L35" s="4"/>
      <c r="M35" s="16">
        <v>127.23</v>
      </c>
      <c r="N35" s="16">
        <v>-137.16</v>
      </c>
      <c r="O35" s="16">
        <v>456.79</v>
      </c>
      <c r="P35" s="16">
        <v>-129.83000000000001</v>
      </c>
      <c r="Q35" s="16">
        <v>610.35</v>
      </c>
      <c r="R35" s="16">
        <v>-456.79</v>
      </c>
      <c r="S35" s="16">
        <v>5.1100000000000003</v>
      </c>
      <c r="T35" s="16">
        <v>-610.35</v>
      </c>
      <c r="U35" s="16" t="s">
        <v>202</v>
      </c>
      <c r="V35" s="16">
        <v>-5.1100000000000003</v>
      </c>
      <c r="W35" s="16" t="s">
        <v>202</v>
      </c>
      <c r="X35" s="4"/>
      <c r="Y35" s="16" t="s">
        <v>202</v>
      </c>
      <c r="Z35" s="4"/>
      <c r="AA35" s="4"/>
      <c r="AB35" s="42">
        <f t="shared" si="0"/>
        <v>-1.0036416142611415E-13</v>
      </c>
    </row>
    <row r="36" spans="1:28" ht="16.5" thickBot="1">
      <c r="A36" s="1" t="s">
        <v>193</v>
      </c>
      <c r="B36" s="36" t="s">
        <v>192</v>
      </c>
      <c r="C36" s="16" t="s">
        <v>202</v>
      </c>
      <c r="D36" s="4"/>
      <c r="E36" s="16" t="s">
        <v>202</v>
      </c>
      <c r="F36" s="4"/>
      <c r="G36" s="16" t="s">
        <v>202</v>
      </c>
      <c r="H36" s="4"/>
      <c r="I36" s="16" t="s">
        <v>202</v>
      </c>
      <c r="J36" s="4"/>
      <c r="K36" s="16" t="s">
        <v>202</v>
      </c>
      <c r="L36" s="4"/>
      <c r="M36" s="16">
        <v>0.04</v>
      </c>
      <c r="N36" s="4"/>
      <c r="O36" s="16">
        <v>267.14999999999998</v>
      </c>
      <c r="P36" s="4"/>
      <c r="Q36" s="16">
        <v>534.08000000000004</v>
      </c>
      <c r="R36" s="16">
        <v>-267.19</v>
      </c>
      <c r="S36" s="16">
        <v>8.42</v>
      </c>
      <c r="T36" s="16">
        <v>-534.08000000000004</v>
      </c>
      <c r="U36" s="16" t="s">
        <v>202</v>
      </c>
      <c r="V36" s="16">
        <v>-8.42</v>
      </c>
      <c r="W36" s="16" t="s">
        <v>202</v>
      </c>
      <c r="X36" s="4"/>
      <c r="Y36" s="16" t="s">
        <v>202</v>
      </c>
      <c r="Z36" s="4"/>
      <c r="AA36" s="4"/>
      <c r="AB36" s="42">
        <f t="shared" si="0"/>
        <v>-1.5454304502782179E-13</v>
      </c>
    </row>
    <row r="37" spans="1:28" ht="16.5" thickBot="1">
      <c r="A37" s="1" t="s">
        <v>26</v>
      </c>
      <c r="B37" s="36" t="s">
        <v>120</v>
      </c>
      <c r="C37" s="16">
        <v>2.62</v>
      </c>
      <c r="D37" s="4"/>
      <c r="E37" s="16">
        <v>2.72</v>
      </c>
      <c r="F37" s="4"/>
      <c r="G37" s="16">
        <v>2.2000000000000002</v>
      </c>
      <c r="H37" s="4"/>
      <c r="I37" s="16">
        <v>3.07</v>
      </c>
      <c r="J37" s="4"/>
      <c r="K37" s="16">
        <v>93.16</v>
      </c>
      <c r="L37" s="4"/>
      <c r="M37" s="16">
        <v>165.96</v>
      </c>
      <c r="N37" s="4"/>
      <c r="O37" s="16">
        <v>166.78</v>
      </c>
      <c r="P37" s="16">
        <v>-399.07</v>
      </c>
      <c r="Q37" s="16">
        <v>81.849999999999994</v>
      </c>
      <c r="R37" s="4"/>
      <c r="S37" s="16">
        <v>48.9</v>
      </c>
      <c r="T37" s="16">
        <f>-528.16-200</f>
        <v>-728.16</v>
      </c>
      <c r="U37" s="16">
        <v>2.71</v>
      </c>
      <c r="V37" s="4"/>
      <c r="W37" s="16">
        <v>2.82</v>
      </c>
      <c r="X37" s="4"/>
      <c r="Y37" s="16">
        <v>2.78</v>
      </c>
      <c r="Z37" s="4"/>
      <c r="AA37" s="4"/>
      <c r="AB37" s="42">
        <f t="shared" si="0"/>
        <v>-551.66</v>
      </c>
    </row>
    <row r="38" spans="1:28" ht="16.5" thickBot="1">
      <c r="A38" s="1" t="s">
        <v>27</v>
      </c>
      <c r="B38" s="36" t="s">
        <v>121</v>
      </c>
      <c r="C38" s="16">
        <v>2.87</v>
      </c>
      <c r="D38" s="4"/>
      <c r="E38" s="16">
        <v>2.85</v>
      </c>
      <c r="F38" s="4"/>
      <c r="G38" s="16">
        <v>2.35</v>
      </c>
      <c r="H38" s="4"/>
      <c r="I38" s="16">
        <v>3.3</v>
      </c>
      <c r="J38" s="4"/>
      <c r="K38" s="16">
        <v>3.05</v>
      </c>
      <c r="L38" s="4"/>
      <c r="M38" s="16">
        <v>12.89</v>
      </c>
      <c r="N38" s="4"/>
      <c r="O38" s="16">
        <v>174.39</v>
      </c>
      <c r="P38" s="16">
        <v>-26.98</v>
      </c>
      <c r="Q38" s="16">
        <v>177.01</v>
      </c>
      <c r="R38" s="4"/>
      <c r="S38" s="16">
        <v>65.13</v>
      </c>
      <c r="T38" s="4"/>
      <c r="U38" s="16">
        <v>3.01</v>
      </c>
      <c r="V38" s="4"/>
      <c r="W38" s="16">
        <v>3.08</v>
      </c>
      <c r="X38" s="4"/>
      <c r="Y38" s="16">
        <v>3.02</v>
      </c>
      <c r="Z38" s="4"/>
      <c r="AA38" s="4"/>
      <c r="AB38" s="42">
        <f t="shared" si="0"/>
        <v>425.96999999999997</v>
      </c>
    </row>
    <row r="39" spans="1:28" ht="16.5" thickBot="1">
      <c r="A39" s="1" t="s">
        <v>28</v>
      </c>
      <c r="B39" s="36" t="s">
        <v>122</v>
      </c>
      <c r="C39" s="16">
        <v>7.69</v>
      </c>
      <c r="D39" s="4"/>
      <c r="E39" s="16">
        <v>7.55</v>
      </c>
      <c r="F39" s="4"/>
      <c r="G39" s="16">
        <v>6.21</v>
      </c>
      <c r="H39" s="4"/>
      <c r="I39" s="16">
        <v>8.91</v>
      </c>
      <c r="J39" s="4"/>
      <c r="K39" s="16">
        <v>7.91</v>
      </c>
      <c r="L39" s="4"/>
      <c r="M39" s="16">
        <v>8.64</v>
      </c>
      <c r="N39" s="4"/>
      <c r="O39" s="16">
        <v>8.44</v>
      </c>
      <c r="P39" s="4"/>
      <c r="Q39" s="16">
        <v>60.15</v>
      </c>
      <c r="R39" s="4"/>
      <c r="S39" s="16">
        <v>8.4</v>
      </c>
      <c r="T39" s="4"/>
      <c r="U39" s="16">
        <v>7.85</v>
      </c>
      <c r="V39" s="16">
        <v>-157.22</v>
      </c>
      <c r="W39" s="16">
        <v>8.14</v>
      </c>
      <c r="X39" s="4"/>
      <c r="Y39" s="16">
        <v>7.86</v>
      </c>
      <c r="Z39" s="4"/>
      <c r="AA39" s="4"/>
      <c r="AB39" s="42">
        <f t="shared" si="0"/>
        <v>-9.4699999999999989</v>
      </c>
    </row>
    <row r="40" spans="1:28" ht="16.5" thickBot="1">
      <c r="A40" s="1" t="s">
        <v>29</v>
      </c>
      <c r="B40" s="36" t="s">
        <v>123</v>
      </c>
      <c r="C40" s="16" t="s">
        <v>202</v>
      </c>
      <c r="D40" s="4"/>
      <c r="E40" s="16" t="s">
        <v>202</v>
      </c>
      <c r="F40" s="4"/>
      <c r="G40" s="16" t="s">
        <v>202</v>
      </c>
      <c r="H40" s="4"/>
      <c r="I40" s="16" t="s">
        <v>202</v>
      </c>
      <c r="J40" s="4"/>
      <c r="K40" s="16">
        <v>670.11</v>
      </c>
      <c r="L40" s="4"/>
      <c r="M40" s="16">
        <v>748.61</v>
      </c>
      <c r="N40" s="16">
        <v>-902.66</v>
      </c>
      <c r="O40" s="16">
        <v>470.6</v>
      </c>
      <c r="P40" s="4"/>
      <c r="Q40" s="16">
        <v>566.38</v>
      </c>
      <c r="R40" s="4"/>
      <c r="S40" s="16">
        <v>1347.84</v>
      </c>
      <c r="T40" s="16">
        <f>-1785.59-1500</f>
        <v>-3285.59</v>
      </c>
      <c r="U40" s="16">
        <v>447.56</v>
      </c>
      <c r="V40" s="4"/>
      <c r="W40" s="16" t="s">
        <v>202</v>
      </c>
      <c r="X40" s="4"/>
      <c r="Y40" s="16" t="s">
        <v>202</v>
      </c>
      <c r="Z40" s="4"/>
      <c r="AA40" s="4"/>
      <c r="AB40" s="42">
        <f t="shared" si="0"/>
        <v>62.849999999999966</v>
      </c>
    </row>
    <row r="41" spans="1:28" ht="16.5" thickBot="1">
      <c r="A41" s="48" t="s">
        <v>30</v>
      </c>
      <c r="B41" s="47" t="s">
        <v>124</v>
      </c>
      <c r="C41" s="46">
        <v>2.82</v>
      </c>
      <c r="D41" s="45"/>
      <c r="E41" s="46">
        <v>2.82</v>
      </c>
      <c r="F41" s="45"/>
      <c r="G41" s="46">
        <v>2.34</v>
      </c>
      <c r="H41" s="45"/>
      <c r="I41" s="46">
        <v>3.26</v>
      </c>
      <c r="J41" s="45"/>
      <c r="K41" s="46">
        <v>71.349999999999994</v>
      </c>
      <c r="L41" s="45"/>
      <c r="M41" s="46">
        <v>333.48</v>
      </c>
      <c r="N41" s="46">
        <v>-100</v>
      </c>
      <c r="O41" s="46">
        <v>424.45</v>
      </c>
      <c r="P41" s="46">
        <v>-500</v>
      </c>
      <c r="Q41" s="46">
        <v>428.98</v>
      </c>
      <c r="R41" s="46">
        <v>-257.93</v>
      </c>
      <c r="S41" s="46">
        <v>289.32</v>
      </c>
      <c r="T41" s="46">
        <f>-428.98-500</f>
        <v>-928.98</v>
      </c>
      <c r="U41" s="46">
        <v>32.61</v>
      </c>
      <c r="V41" s="45"/>
      <c r="W41" s="46">
        <v>3.04</v>
      </c>
      <c r="X41" s="45"/>
      <c r="Y41" s="46">
        <v>2.0299999999999998</v>
      </c>
      <c r="Z41" s="45"/>
      <c r="AA41" s="45"/>
      <c r="AB41" s="42">
        <f t="shared" si="0"/>
        <v>-190.41000000000003</v>
      </c>
    </row>
    <row r="42" spans="1:28" ht="16.5" thickBot="1">
      <c r="A42" s="1" t="s">
        <v>31</v>
      </c>
      <c r="B42" s="36" t="s">
        <v>125</v>
      </c>
      <c r="C42" s="16">
        <v>88.72</v>
      </c>
      <c r="D42" s="4"/>
      <c r="E42" s="16" t="s">
        <v>202</v>
      </c>
      <c r="F42" s="4"/>
      <c r="G42" s="16" t="s">
        <v>202</v>
      </c>
      <c r="H42" s="4"/>
      <c r="I42" s="16">
        <v>70.989999999999995</v>
      </c>
      <c r="J42" s="4"/>
      <c r="K42" s="16">
        <v>461.68</v>
      </c>
      <c r="L42" s="4"/>
      <c r="M42" s="16">
        <v>355.53</v>
      </c>
      <c r="N42" s="4"/>
      <c r="O42" s="16">
        <v>254.18</v>
      </c>
      <c r="P42" s="16">
        <v>-3191.77</v>
      </c>
      <c r="Q42" s="16">
        <v>424.63</v>
      </c>
      <c r="R42" s="4"/>
      <c r="S42" s="16">
        <v>369.23</v>
      </c>
      <c r="T42" s="16">
        <v>-1034.3399999999999</v>
      </c>
      <c r="U42" s="16">
        <v>414.65</v>
      </c>
      <c r="V42" s="4"/>
      <c r="W42" s="16">
        <v>3.35</v>
      </c>
      <c r="X42" s="4"/>
      <c r="Y42" s="16">
        <v>8.42</v>
      </c>
      <c r="Z42" s="4"/>
      <c r="AA42" s="4"/>
      <c r="AB42" s="42">
        <f t="shared" si="0"/>
        <v>-1774.7299999999996</v>
      </c>
    </row>
    <row r="43" spans="1:28" ht="16.5" thickBot="1">
      <c r="A43" s="1" t="s">
        <v>32</v>
      </c>
      <c r="B43" s="36" t="s">
        <v>126</v>
      </c>
      <c r="C43" s="16">
        <v>7.21</v>
      </c>
      <c r="D43" s="4"/>
      <c r="E43" s="16">
        <v>7.26</v>
      </c>
      <c r="F43" s="4"/>
      <c r="G43" s="16">
        <v>5.91</v>
      </c>
      <c r="H43" s="4"/>
      <c r="I43" s="16">
        <v>10.58</v>
      </c>
      <c r="J43" s="4"/>
      <c r="K43" s="16">
        <v>285.75</v>
      </c>
      <c r="L43" s="4"/>
      <c r="M43" s="16">
        <v>530.53</v>
      </c>
      <c r="N43" s="4"/>
      <c r="O43" s="16">
        <v>620.34</v>
      </c>
      <c r="P43" s="16">
        <v>-1048.46</v>
      </c>
      <c r="Q43" s="16">
        <v>1223.03</v>
      </c>
      <c r="R43" s="16">
        <v>-1150.8699999999999</v>
      </c>
      <c r="S43" s="16">
        <v>717.91</v>
      </c>
      <c r="T43" s="16">
        <v>-1223.03</v>
      </c>
      <c r="U43" s="16">
        <v>929.51</v>
      </c>
      <c r="V43" s="16">
        <v>-717.91</v>
      </c>
      <c r="W43" s="16">
        <v>9.3699999999999992</v>
      </c>
      <c r="X43" s="16">
        <v>-929.51</v>
      </c>
      <c r="Y43" s="16">
        <v>7.61</v>
      </c>
      <c r="Z43" s="4"/>
      <c r="AA43" s="4"/>
      <c r="AB43" s="42">
        <f t="shared" ref="AB43:AB74" si="1">SUM(C43:AA43)</f>
        <v>-714.76999999999987</v>
      </c>
    </row>
    <row r="44" spans="1:28" ht="16.5" thickBot="1">
      <c r="A44" s="48" t="s">
        <v>33</v>
      </c>
      <c r="B44" s="47" t="s">
        <v>127</v>
      </c>
      <c r="C44" s="46">
        <v>1.88</v>
      </c>
      <c r="D44" s="45"/>
      <c r="E44" s="46">
        <v>1.63</v>
      </c>
      <c r="F44" s="45"/>
      <c r="G44" s="46">
        <v>1.63</v>
      </c>
      <c r="H44" s="45"/>
      <c r="I44" s="46">
        <v>13.81</v>
      </c>
      <c r="J44" s="45"/>
      <c r="K44" s="46">
        <v>149.5</v>
      </c>
      <c r="L44" s="45"/>
      <c r="M44" s="46">
        <v>648.30999999999995</v>
      </c>
      <c r="N44" s="45"/>
      <c r="O44" s="46">
        <v>409.2</v>
      </c>
      <c r="P44" s="45"/>
      <c r="Q44" s="46">
        <v>454.27</v>
      </c>
      <c r="R44" s="46">
        <v>-3907.78</v>
      </c>
      <c r="S44" s="46">
        <v>869.86</v>
      </c>
      <c r="T44" s="45"/>
      <c r="U44" s="46">
        <v>946.22</v>
      </c>
      <c r="V44" s="45"/>
      <c r="W44" s="46">
        <v>98.98</v>
      </c>
      <c r="X44" s="45"/>
      <c r="Y44" s="46">
        <v>1.69</v>
      </c>
      <c r="Z44" s="46">
        <v>-2369.13</v>
      </c>
      <c r="AA44" s="46"/>
      <c r="AB44" s="42">
        <f t="shared" si="1"/>
        <v>-2679.9300000000003</v>
      </c>
    </row>
    <row r="45" spans="1:28" ht="16.5" thickBot="1">
      <c r="A45" s="1" t="s">
        <v>34</v>
      </c>
      <c r="B45" s="36" t="s">
        <v>128</v>
      </c>
      <c r="C45" s="16">
        <v>5409.71</v>
      </c>
      <c r="D45" s="4"/>
      <c r="E45" s="16">
        <v>8516.1200000000008</v>
      </c>
      <c r="F45" s="4"/>
      <c r="G45" s="16">
        <v>4029.44</v>
      </c>
      <c r="H45" s="4"/>
      <c r="I45" s="16">
        <v>1919.14</v>
      </c>
      <c r="J45" s="4"/>
      <c r="K45" s="16">
        <v>1096.6400000000001</v>
      </c>
      <c r="L45" s="16">
        <v>-10000</v>
      </c>
      <c r="M45" s="16">
        <v>818.53</v>
      </c>
      <c r="N45" s="4"/>
      <c r="O45" s="16">
        <v>1511.95</v>
      </c>
      <c r="P45" s="16">
        <f>-1096.64-1919.14-4029.44-8516.12</f>
        <v>-15561.34</v>
      </c>
      <c r="Q45" s="16">
        <v>2646.68</v>
      </c>
      <c r="R45" s="4"/>
      <c r="S45" s="16">
        <v>2282.44</v>
      </c>
      <c r="T45" s="4"/>
      <c r="U45" s="16">
        <v>1258.1199999999999</v>
      </c>
      <c r="V45" s="4"/>
      <c r="W45" s="16">
        <v>2769.16</v>
      </c>
      <c r="X45" s="4"/>
      <c r="Y45" s="16">
        <v>8120.89</v>
      </c>
      <c r="Z45" s="16">
        <f>-5200-9800</f>
        <v>-15000</v>
      </c>
      <c r="AA45" s="4"/>
      <c r="AB45" s="42">
        <f t="shared" si="1"/>
        <v>-182.52000000000044</v>
      </c>
    </row>
    <row r="46" spans="1:28" ht="16.5" thickBot="1">
      <c r="A46" s="1" t="s">
        <v>191</v>
      </c>
      <c r="B46" s="36" t="s">
        <v>190</v>
      </c>
      <c r="C46" s="16">
        <v>2.98</v>
      </c>
      <c r="D46" s="4"/>
      <c r="E46" s="16">
        <v>2.91</v>
      </c>
      <c r="F46" s="4"/>
      <c r="G46" s="16">
        <v>2.46</v>
      </c>
      <c r="H46" s="4"/>
      <c r="I46" s="16">
        <v>3.42</v>
      </c>
      <c r="J46" s="4"/>
      <c r="K46" s="16">
        <v>223.84</v>
      </c>
      <c r="L46" s="4"/>
      <c r="M46" s="16">
        <v>620.36</v>
      </c>
      <c r="N46" s="4"/>
      <c r="O46" s="16">
        <v>352.58</v>
      </c>
      <c r="P46" s="16">
        <v>-429.22</v>
      </c>
      <c r="Q46" s="16">
        <v>617.07000000000005</v>
      </c>
      <c r="R46" s="4"/>
      <c r="S46" s="16">
        <v>1231.26</v>
      </c>
      <c r="T46" s="16">
        <v>-1590</v>
      </c>
      <c r="U46" s="16">
        <v>270.5</v>
      </c>
      <c r="V46" s="4"/>
      <c r="W46" s="16">
        <v>50.25</v>
      </c>
      <c r="X46" s="4"/>
      <c r="Y46" s="16">
        <v>3.12</v>
      </c>
      <c r="Z46" s="4"/>
      <c r="AA46" s="4"/>
      <c r="AB46" s="42">
        <f t="shared" si="1"/>
        <v>1361.5299999999997</v>
      </c>
    </row>
    <row r="47" spans="1:28" ht="16.5" thickBot="1">
      <c r="A47" s="1" t="s">
        <v>35</v>
      </c>
      <c r="B47" s="36" t="s">
        <v>171</v>
      </c>
      <c r="C47" s="16" t="s">
        <v>202</v>
      </c>
      <c r="D47" s="4"/>
      <c r="E47" s="16" t="s">
        <v>202</v>
      </c>
      <c r="F47" s="4"/>
      <c r="G47" s="16" t="s">
        <v>202</v>
      </c>
      <c r="H47" s="4"/>
      <c r="I47" s="16" t="s">
        <v>202</v>
      </c>
      <c r="J47" s="4"/>
      <c r="K47" s="16" t="s">
        <v>202</v>
      </c>
      <c r="L47" s="4"/>
      <c r="M47" s="16">
        <v>0.85</v>
      </c>
      <c r="N47" s="4"/>
      <c r="O47" s="16">
        <v>1.9</v>
      </c>
      <c r="P47" s="4"/>
      <c r="Q47" s="16">
        <v>2.36</v>
      </c>
      <c r="R47" s="4"/>
      <c r="S47" s="16" t="s">
        <v>202</v>
      </c>
      <c r="T47" s="4"/>
      <c r="U47" s="16" t="s">
        <v>202</v>
      </c>
      <c r="V47" s="4"/>
      <c r="W47" s="16" t="s">
        <v>202</v>
      </c>
      <c r="X47" s="4"/>
      <c r="Y47" s="16" t="s">
        <v>202</v>
      </c>
      <c r="Z47" s="4"/>
      <c r="AA47" s="4"/>
      <c r="AB47" s="42">
        <f t="shared" si="1"/>
        <v>5.1099999999999994</v>
      </c>
    </row>
    <row r="48" spans="1:28" ht="16.5" thickBot="1">
      <c r="A48" s="1" t="s">
        <v>36</v>
      </c>
      <c r="B48" s="36" t="s">
        <v>205</v>
      </c>
      <c r="C48" s="16">
        <v>2.62</v>
      </c>
      <c r="D48" s="4"/>
      <c r="E48" s="16">
        <v>2.38</v>
      </c>
      <c r="F48" s="4"/>
      <c r="G48" s="16">
        <v>2.04</v>
      </c>
      <c r="H48" s="4"/>
      <c r="I48" s="16">
        <v>2.56</v>
      </c>
      <c r="J48" s="4"/>
      <c r="K48" s="16">
        <v>1052.4000000000001</v>
      </c>
      <c r="L48" s="4"/>
      <c r="M48" s="16">
        <v>153.30000000000001</v>
      </c>
      <c r="N48" s="4"/>
      <c r="O48" s="16" t="s">
        <v>202</v>
      </c>
      <c r="P48" s="4"/>
      <c r="Q48" s="16" t="s">
        <v>202</v>
      </c>
      <c r="R48" s="4"/>
      <c r="S48" s="16">
        <v>591.96</v>
      </c>
      <c r="T48" s="16">
        <v>-6577.17</v>
      </c>
      <c r="U48" s="16">
        <v>3.85</v>
      </c>
      <c r="V48" s="4"/>
      <c r="W48" s="16">
        <v>2.91</v>
      </c>
      <c r="X48" s="4"/>
      <c r="Y48" s="16">
        <v>2.8</v>
      </c>
      <c r="Z48" s="4"/>
      <c r="AA48" s="4"/>
      <c r="AB48" s="42">
        <f t="shared" si="1"/>
        <v>-4760.3499999999995</v>
      </c>
    </row>
    <row r="49" spans="1:28" ht="16.5" thickBot="1">
      <c r="A49" s="1" t="s">
        <v>37</v>
      </c>
      <c r="B49" s="36" t="s">
        <v>129</v>
      </c>
      <c r="C49" s="16" t="s">
        <v>202</v>
      </c>
      <c r="D49" s="4"/>
      <c r="E49" s="16" t="s">
        <v>202</v>
      </c>
      <c r="F49" s="4"/>
      <c r="G49" s="16" t="s">
        <v>202</v>
      </c>
      <c r="H49" s="4"/>
      <c r="I49" s="16" t="s">
        <v>202</v>
      </c>
      <c r="J49" s="4"/>
      <c r="K49" s="16">
        <v>8.9</v>
      </c>
      <c r="L49" s="4"/>
      <c r="M49" s="16">
        <v>10.42</v>
      </c>
      <c r="N49" s="4"/>
      <c r="O49" s="16">
        <v>34.880000000000003</v>
      </c>
      <c r="P49" s="16">
        <v>-62.28</v>
      </c>
      <c r="Q49" s="16">
        <v>350.58</v>
      </c>
      <c r="R49" s="4"/>
      <c r="S49" s="16">
        <v>190.39</v>
      </c>
      <c r="T49" s="16">
        <f>-350.58-690.39</f>
        <v>-1040.97</v>
      </c>
      <c r="U49" s="16">
        <v>43.64</v>
      </c>
      <c r="V49" s="4"/>
      <c r="W49" s="16">
        <v>9.1</v>
      </c>
      <c r="X49" s="4"/>
      <c r="Y49" s="16">
        <v>8.81</v>
      </c>
      <c r="Z49" s="4"/>
      <c r="AA49" s="4"/>
      <c r="AB49" s="42">
        <f t="shared" si="1"/>
        <v>-446.53000000000003</v>
      </c>
    </row>
    <row r="50" spans="1:28" ht="16.5" thickBot="1">
      <c r="A50" s="1" t="s">
        <v>38</v>
      </c>
      <c r="B50" s="36" t="s">
        <v>130</v>
      </c>
      <c r="C50" s="16">
        <v>0.18</v>
      </c>
      <c r="D50" s="4"/>
      <c r="E50" s="16">
        <v>0.21</v>
      </c>
      <c r="F50" s="4"/>
      <c r="G50" s="16">
        <v>0.16</v>
      </c>
      <c r="H50" s="4"/>
      <c r="I50" s="16">
        <v>0.18</v>
      </c>
      <c r="J50" s="4"/>
      <c r="K50" s="16">
        <v>6.97</v>
      </c>
      <c r="L50" s="4"/>
      <c r="M50" s="16">
        <v>236.56</v>
      </c>
      <c r="N50" s="4"/>
      <c r="O50" s="16">
        <v>197.92</v>
      </c>
      <c r="P50" s="4"/>
      <c r="Q50" s="16">
        <v>309.2</v>
      </c>
      <c r="R50" s="4"/>
      <c r="S50" s="16">
        <v>84.57</v>
      </c>
      <c r="T50" s="16">
        <f>-434.48-309.2</f>
        <v>-743.68000000000006</v>
      </c>
      <c r="U50" s="16">
        <v>0.18</v>
      </c>
      <c r="V50" s="4"/>
      <c r="W50" s="16">
        <v>0.18</v>
      </c>
      <c r="X50" s="4"/>
      <c r="Y50" s="16">
        <v>0.11</v>
      </c>
      <c r="Z50" s="4"/>
      <c r="AA50" s="4"/>
      <c r="AB50" s="42">
        <f t="shared" si="1"/>
        <v>92.739999999999768</v>
      </c>
    </row>
    <row r="51" spans="1:28" ht="16.5" thickBot="1">
      <c r="A51" s="1" t="s">
        <v>39</v>
      </c>
      <c r="B51" s="36" t="s">
        <v>131</v>
      </c>
      <c r="C51" s="16">
        <v>2.35</v>
      </c>
      <c r="D51" s="4"/>
      <c r="E51" s="16">
        <v>2.21</v>
      </c>
      <c r="F51" s="4"/>
      <c r="G51" s="16">
        <v>1.81</v>
      </c>
      <c r="H51" s="4"/>
      <c r="I51" s="16">
        <v>2.56</v>
      </c>
      <c r="J51" s="4"/>
      <c r="K51" s="16">
        <v>2.29</v>
      </c>
      <c r="L51" s="4"/>
      <c r="M51" s="16">
        <v>2.39</v>
      </c>
      <c r="N51" s="4"/>
      <c r="O51" s="16">
        <v>2.34</v>
      </c>
      <c r="P51" s="4"/>
      <c r="Q51" s="16">
        <v>2.5299999999999998</v>
      </c>
      <c r="R51" s="4"/>
      <c r="S51" s="16">
        <v>2.5299999999999998</v>
      </c>
      <c r="T51" s="4"/>
      <c r="U51" s="16">
        <v>2.4700000000000002</v>
      </c>
      <c r="V51" s="4"/>
      <c r="W51" s="16">
        <v>2.4900000000000002</v>
      </c>
      <c r="X51" s="4"/>
      <c r="Y51" s="16">
        <v>2.4300000000000002</v>
      </c>
      <c r="Z51" s="4"/>
      <c r="AA51" s="4"/>
      <c r="AB51" s="42">
        <f t="shared" si="1"/>
        <v>28.400000000000006</v>
      </c>
    </row>
    <row r="52" spans="1:28" ht="16.5" thickBot="1">
      <c r="A52" s="1" t="s">
        <v>40</v>
      </c>
      <c r="B52" s="36" t="s">
        <v>132</v>
      </c>
      <c r="C52" s="16">
        <v>3.05</v>
      </c>
      <c r="D52" s="4"/>
      <c r="E52" s="16">
        <v>3.07</v>
      </c>
      <c r="F52" s="4"/>
      <c r="G52" s="16">
        <v>2.5099999999999998</v>
      </c>
      <c r="H52" s="4"/>
      <c r="I52" s="16">
        <v>3.51</v>
      </c>
      <c r="J52" s="4"/>
      <c r="K52" s="16">
        <v>193.85</v>
      </c>
      <c r="L52" s="4"/>
      <c r="M52" s="16">
        <v>1091.03</v>
      </c>
      <c r="N52" s="16">
        <f>-4-193.85</f>
        <v>-197.85</v>
      </c>
      <c r="O52" s="16">
        <v>1849.82</v>
      </c>
      <c r="P52" s="16">
        <v>-1109.24</v>
      </c>
      <c r="Q52" s="16">
        <v>1731.46</v>
      </c>
      <c r="R52" s="16">
        <f>-1849.82-2747.87</f>
        <v>-4597.6899999999996</v>
      </c>
      <c r="S52" s="16">
        <v>40.36</v>
      </c>
      <c r="T52" s="94">
        <v>-1731.46</v>
      </c>
      <c r="U52" s="16">
        <v>3.17</v>
      </c>
      <c r="V52" s="16">
        <v>-436.02</v>
      </c>
      <c r="W52" s="16">
        <v>3.3</v>
      </c>
      <c r="X52" s="4"/>
      <c r="Y52" s="16">
        <v>3.22</v>
      </c>
      <c r="Z52" s="4"/>
      <c r="AA52" s="4"/>
      <c r="AB52" s="42">
        <f t="shared" si="1"/>
        <v>-3143.9099999999994</v>
      </c>
    </row>
    <row r="53" spans="1:28" ht="16.5" thickBot="1">
      <c r="A53" s="1" t="s">
        <v>41</v>
      </c>
      <c r="B53" s="36" t="s">
        <v>133</v>
      </c>
      <c r="C53" s="16">
        <v>15.45</v>
      </c>
      <c r="D53" s="4"/>
      <c r="E53" s="16" t="s">
        <v>202</v>
      </c>
      <c r="F53" s="4"/>
      <c r="G53" s="16">
        <v>0.18</v>
      </c>
      <c r="H53" s="4"/>
      <c r="I53" s="16" t="s">
        <v>202</v>
      </c>
      <c r="J53" s="4"/>
      <c r="K53" s="16">
        <v>354.97</v>
      </c>
      <c r="L53" s="4"/>
      <c r="M53" s="16">
        <v>423.24</v>
      </c>
      <c r="N53" s="4"/>
      <c r="O53" s="16">
        <v>448.91</v>
      </c>
      <c r="P53" s="4"/>
      <c r="Q53" s="16">
        <v>617.66999999999996</v>
      </c>
      <c r="R53" s="16">
        <v>-2595.11</v>
      </c>
      <c r="S53" s="16">
        <v>673.96</v>
      </c>
      <c r="T53" s="16">
        <v>-617.66999999999996</v>
      </c>
      <c r="U53" s="16">
        <v>500.07</v>
      </c>
      <c r="V53" s="16">
        <v>-1000</v>
      </c>
      <c r="W53" s="16">
        <v>1.6</v>
      </c>
      <c r="X53" s="4"/>
      <c r="Y53" s="16">
        <v>833.38</v>
      </c>
      <c r="Z53" s="4"/>
      <c r="AA53" s="4"/>
      <c r="AB53" s="42">
        <f t="shared" si="1"/>
        <v>-343.35</v>
      </c>
    </row>
    <row r="54" spans="1:28" ht="16.5" thickBot="1">
      <c r="A54" s="1" t="s">
        <v>42</v>
      </c>
      <c r="B54" s="36" t="s">
        <v>134</v>
      </c>
      <c r="C54" s="16">
        <v>2.82</v>
      </c>
      <c r="D54" s="4"/>
      <c r="E54" s="16">
        <v>2.77</v>
      </c>
      <c r="F54" s="4"/>
      <c r="G54" s="16">
        <v>2.2599999999999998</v>
      </c>
      <c r="H54" s="4"/>
      <c r="I54" s="16">
        <v>3.25</v>
      </c>
      <c r="J54" s="4"/>
      <c r="K54" s="16">
        <v>2782.59</v>
      </c>
      <c r="L54" s="4"/>
      <c r="M54" s="16">
        <v>3340.91</v>
      </c>
      <c r="N54" s="16">
        <v>-700</v>
      </c>
      <c r="O54" s="16">
        <v>2938.81</v>
      </c>
      <c r="P54" s="16">
        <v>-2770.68</v>
      </c>
      <c r="Q54" s="16">
        <v>3300.31</v>
      </c>
      <c r="R54" s="16">
        <v>-6279.72</v>
      </c>
      <c r="S54" s="16">
        <v>1995.56</v>
      </c>
      <c r="T54" s="16">
        <v>-3300.31</v>
      </c>
      <c r="U54" s="16">
        <v>1641.23</v>
      </c>
      <c r="V54" s="16">
        <v>-1995.56</v>
      </c>
      <c r="W54" s="16">
        <v>3.04</v>
      </c>
      <c r="X54" s="4"/>
      <c r="Y54" s="16">
        <v>3.01</v>
      </c>
      <c r="Z54" s="4"/>
      <c r="AA54" s="4"/>
      <c r="AB54" s="42">
        <f t="shared" si="1"/>
        <v>970.28999999999928</v>
      </c>
    </row>
    <row r="55" spans="1:28" ht="16.5" thickBot="1">
      <c r="A55" s="1" t="s">
        <v>43</v>
      </c>
      <c r="B55" s="36" t="s">
        <v>135</v>
      </c>
      <c r="C55" s="16">
        <v>0.97</v>
      </c>
      <c r="D55" s="4"/>
      <c r="E55" s="16">
        <v>1.0900000000000001</v>
      </c>
      <c r="F55" s="4"/>
      <c r="G55" s="16">
        <v>3.51</v>
      </c>
      <c r="H55" s="4"/>
      <c r="I55" s="16">
        <v>3.05</v>
      </c>
      <c r="J55" s="4"/>
      <c r="K55" s="16">
        <v>16.149999999999999</v>
      </c>
      <c r="L55" s="4"/>
      <c r="M55" s="16">
        <v>18.7</v>
      </c>
      <c r="N55" s="16">
        <v>-700</v>
      </c>
      <c r="O55" s="16" t="s">
        <v>202</v>
      </c>
      <c r="P55" s="4"/>
      <c r="Q55" s="16">
        <v>26.97</v>
      </c>
      <c r="R55" s="4"/>
      <c r="S55" s="16">
        <v>124.91</v>
      </c>
      <c r="T55" s="4"/>
      <c r="U55" s="16" t="s">
        <v>202</v>
      </c>
      <c r="V55" s="4"/>
      <c r="W55" s="16" t="s">
        <v>202</v>
      </c>
      <c r="X55" s="4"/>
      <c r="Y55" s="16" t="s">
        <v>202</v>
      </c>
      <c r="Z55" s="4"/>
      <c r="AA55" s="4"/>
      <c r="AB55" s="42">
        <f t="shared" si="1"/>
        <v>-504.65</v>
      </c>
    </row>
    <row r="56" spans="1:28" ht="16.5" thickBot="1">
      <c r="A56" s="48" t="s">
        <v>44</v>
      </c>
      <c r="B56" s="47" t="s">
        <v>136</v>
      </c>
      <c r="C56" s="46">
        <v>2.0499999999999998</v>
      </c>
      <c r="D56" s="45"/>
      <c r="E56" s="46">
        <v>2.0499999999999998</v>
      </c>
      <c r="F56" s="45"/>
      <c r="G56" s="46">
        <v>1.69</v>
      </c>
      <c r="H56" s="45"/>
      <c r="I56" s="46">
        <v>4.07</v>
      </c>
      <c r="J56" s="45"/>
      <c r="K56" s="46">
        <v>280.98</v>
      </c>
      <c r="L56" s="45"/>
      <c r="M56" s="46">
        <v>413.03</v>
      </c>
      <c r="N56" s="46">
        <v>-856.63</v>
      </c>
      <c r="O56" s="46">
        <v>442.43</v>
      </c>
      <c r="P56" s="45"/>
      <c r="Q56" s="46">
        <v>505.05</v>
      </c>
      <c r="R56" s="46">
        <v>-855.46</v>
      </c>
      <c r="S56" s="46">
        <v>312.16000000000003</v>
      </c>
      <c r="T56" s="45"/>
      <c r="U56" s="46">
        <v>192.05</v>
      </c>
      <c r="V56" s="45"/>
      <c r="W56" s="46">
        <v>56.16</v>
      </c>
      <c r="X56" s="46">
        <v>-1009.26</v>
      </c>
      <c r="Y56" s="46">
        <v>2.17</v>
      </c>
      <c r="Z56" s="45"/>
      <c r="AA56" s="45"/>
      <c r="AB56" s="42">
        <f t="shared" si="1"/>
        <v>-507.46</v>
      </c>
    </row>
    <row r="57" spans="1:28" ht="16.5" thickBot="1">
      <c r="A57" s="1" t="s">
        <v>45</v>
      </c>
      <c r="B57" s="36" t="s">
        <v>137</v>
      </c>
      <c r="C57" s="16">
        <v>176.93</v>
      </c>
      <c r="D57" s="4"/>
      <c r="E57" s="16">
        <v>78.59</v>
      </c>
      <c r="F57" s="4"/>
      <c r="G57" s="16">
        <v>32.92</v>
      </c>
      <c r="H57" s="4"/>
      <c r="I57" s="16">
        <v>46.12</v>
      </c>
      <c r="J57" s="4"/>
      <c r="K57" s="16">
        <v>811.28</v>
      </c>
      <c r="L57" s="4"/>
      <c r="M57" s="16">
        <v>1120.9000000000001</v>
      </c>
      <c r="N57" s="16">
        <v>-1469.51</v>
      </c>
      <c r="O57" s="16">
        <v>476.47</v>
      </c>
      <c r="P57" s="16">
        <v>-1120.9000000000001</v>
      </c>
      <c r="Q57" s="16">
        <v>959.47</v>
      </c>
      <c r="R57" s="16">
        <v>-476.47</v>
      </c>
      <c r="S57" s="16">
        <v>809.14</v>
      </c>
      <c r="T57" s="4"/>
      <c r="U57" s="16">
        <v>811.08</v>
      </c>
      <c r="V57" s="16">
        <v>-1768.61</v>
      </c>
      <c r="W57" s="16">
        <v>59.03</v>
      </c>
      <c r="X57" s="4"/>
      <c r="Y57" s="16" t="s">
        <v>202</v>
      </c>
      <c r="Z57" s="4"/>
      <c r="AA57" s="4"/>
      <c r="AB57" s="42">
        <f t="shared" si="1"/>
        <v>546.4399999999996</v>
      </c>
    </row>
    <row r="58" spans="1:28" ht="16.5" thickBot="1">
      <c r="A58" s="1" t="s">
        <v>46</v>
      </c>
      <c r="B58" s="36" t="s">
        <v>138</v>
      </c>
      <c r="C58" s="16" t="s">
        <v>202</v>
      </c>
      <c r="D58" s="4"/>
      <c r="E58" s="16" t="s">
        <v>202</v>
      </c>
      <c r="F58" s="4"/>
      <c r="G58" s="16" t="s">
        <v>202</v>
      </c>
      <c r="H58" s="4"/>
      <c r="I58" s="16" t="s">
        <v>202</v>
      </c>
      <c r="J58" s="4"/>
      <c r="K58" s="16">
        <v>6.98</v>
      </c>
      <c r="L58" s="4"/>
      <c r="M58" s="16">
        <v>68.78</v>
      </c>
      <c r="N58" s="16">
        <v>-6.98</v>
      </c>
      <c r="O58" s="16">
        <v>381.2</v>
      </c>
      <c r="P58" s="4"/>
      <c r="Q58" s="16">
        <v>378.53</v>
      </c>
      <c r="R58" s="4"/>
      <c r="S58" s="16">
        <v>304.02999999999997</v>
      </c>
      <c r="T58" s="16">
        <v>-828.51</v>
      </c>
      <c r="U58" s="16" t="s">
        <v>202</v>
      </c>
      <c r="V58" s="4"/>
      <c r="W58" s="16" t="s">
        <v>202</v>
      </c>
      <c r="X58" s="4"/>
      <c r="Y58" s="16" t="s">
        <v>202</v>
      </c>
      <c r="Z58" s="4"/>
      <c r="AA58" s="4"/>
      <c r="AB58" s="42">
        <f t="shared" si="1"/>
        <v>304.02999999999997</v>
      </c>
    </row>
    <row r="59" spans="1:28" ht="16.5" thickBot="1">
      <c r="A59" s="1" t="s">
        <v>47</v>
      </c>
      <c r="B59" s="36" t="s">
        <v>210</v>
      </c>
      <c r="C59" s="16">
        <v>2.36</v>
      </c>
      <c r="D59" s="4"/>
      <c r="E59" s="16">
        <v>2.35</v>
      </c>
      <c r="F59" s="4"/>
      <c r="G59" s="16">
        <v>1.91</v>
      </c>
      <c r="H59" s="4"/>
      <c r="I59" s="16">
        <v>2.69</v>
      </c>
      <c r="J59" s="4"/>
      <c r="K59" s="16">
        <v>75.989999999999995</v>
      </c>
      <c r="L59" s="4"/>
      <c r="M59" s="16">
        <v>94.9</v>
      </c>
      <c r="N59" s="4"/>
      <c r="O59" s="16">
        <v>485.08</v>
      </c>
      <c r="P59" s="16">
        <v>-440.77</v>
      </c>
      <c r="Q59" s="16">
        <v>290.7</v>
      </c>
      <c r="R59" s="4"/>
      <c r="S59" s="16" t="s">
        <v>202</v>
      </c>
      <c r="T59" s="4"/>
      <c r="U59" s="16">
        <v>338.11</v>
      </c>
      <c r="V59" s="4"/>
      <c r="W59" s="16">
        <v>1777.78</v>
      </c>
      <c r="X59" s="4"/>
      <c r="Y59" s="16">
        <v>91.03</v>
      </c>
      <c r="Z59" s="4"/>
      <c r="AA59" s="4"/>
      <c r="AB59" s="42">
        <f t="shared" si="1"/>
        <v>2722.13</v>
      </c>
    </row>
    <row r="60" spans="1:28" ht="16.5" thickBot="1">
      <c r="A60" s="1" t="s">
        <v>48</v>
      </c>
      <c r="B60" s="4" t="s">
        <v>140</v>
      </c>
      <c r="C60" s="16">
        <v>2.92</v>
      </c>
      <c r="D60" s="4"/>
      <c r="E60" s="16">
        <v>3</v>
      </c>
      <c r="F60" s="4"/>
      <c r="G60" s="16">
        <v>2.81</v>
      </c>
      <c r="H60" s="4"/>
      <c r="I60" s="16">
        <v>3.01</v>
      </c>
      <c r="J60" s="4"/>
      <c r="K60" s="16">
        <v>385.3</v>
      </c>
      <c r="L60" s="4"/>
      <c r="M60" s="16">
        <v>1320.25</v>
      </c>
      <c r="N60" s="94">
        <v>-1280</v>
      </c>
      <c r="O60" s="16">
        <v>844.43</v>
      </c>
      <c r="P60" s="4"/>
      <c r="Q60" s="16">
        <v>446.49</v>
      </c>
      <c r="R60" s="4"/>
      <c r="S60" s="16" t="s">
        <v>202</v>
      </c>
      <c r="T60" s="16">
        <f>-3993.06-892.98</f>
        <v>-4886.04</v>
      </c>
      <c r="U60" s="16">
        <v>567.16</v>
      </c>
      <c r="V60" s="4"/>
      <c r="W60" s="16">
        <v>4.25</v>
      </c>
      <c r="X60" s="4"/>
      <c r="Y60" s="16">
        <v>3.13</v>
      </c>
      <c r="Z60" s="4"/>
      <c r="AA60" s="4"/>
      <c r="AB60" s="42">
        <f t="shared" si="1"/>
        <v>-2583.29</v>
      </c>
    </row>
    <row r="61" spans="1:28" ht="16.5" thickBot="1">
      <c r="A61" s="1" t="s">
        <v>49</v>
      </c>
      <c r="B61" s="36" t="s">
        <v>141</v>
      </c>
      <c r="C61" s="16" t="s">
        <v>202</v>
      </c>
      <c r="D61" s="4"/>
      <c r="E61" s="16" t="s">
        <v>202</v>
      </c>
      <c r="F61" s="4"/>
      <c r="G61" s="16" t="s">
        <v>202</v>
      </c>
      <c r="H61" s="4"/>
      <c r="I61" s="16" t="s">
        <v>202</v>
      </c>
      <c r="J61" s="4"/>
      <c r="K61" s="16" t="s">
        <v>202</v>
      </c>
      <c r="L61" s="4"/>
      <c r="M61" s="16" t="s">
        <v>202</v>
      </c>
      <c r="N61" s="4"/>
      <c r="O61" s="16">
        <v>12.38</v>
      </c>
      <c r="P61" s="4"/>
      <c r="Q61" s="16">
        <v>3.99</v>
      </c>
      <c r="R61" s="4"/>
      <c r="S61" s="16">
        <v>0.81</v>
      </c>
      <c r="T61" s="16">
        <v>-16.37</v>
      </c>
      <c r="U61" s="16">
        <v>8.18</v>
      </c>
      <c r="V61" s="4"/>
      <c r="W61" s="16">
        <v>1.27</v>
      </c>
      <c r="X61" s="4"/>
      <c r="Y61" s="16" t="s">
        <v>202</v>
      </c>
      <c r="Z61" s="4"/>
      <c r="AA61" s="4"/>
      <c r="AB61" s="42">
        <f t="shared" si="1"/>
        <v>10.259999999999998</v>
      </c>
    </row>
    <row r="62" spans="1:28" ht="16.5" thickBot="1">
      <c r="A62" s="1" t="s">
        <v>50</v>
      </c>
      <c r="B62" s="36" t="s">
        <v>142</v>
      </c>
      <c r="C62" s="16" t="s">
        <v>202</v>
      </c>
      <c r="D62" s="4"/>
      <c r="E62" s="16" t="s">
        <v>202</v>
      </c>
      <c r="F62" s="4"/>
      <c r="G62" s="16" t="s">
        <v>202</v>
      </c>
      <c r="H62" s="4"/>
      <c r="I62" s="16" t="s">
        <v>202</v>
      </c>
      <c r="J62" s="4"/>
      <c r="K62" s="16">
        <v>128.47</v>
      </c>
      <c r="L62" s="4"/>
      <c r="M62" s="16">
        <v>303.08999999999997</v>
      </c>
      <c r="N62" s="16">
        <v>-128.5</v>
      </c>
      <c r="O62" s="16">
        <v>281.82</v>
      </c>
      <c r="P62" s="4"/>
      <c r="Q62" s="16">
        <v>399.63</v>
      </c>
      <c r="R62" s="4"/>
      <c r="S62" s="16">
        <v>389.75</v>
      </c>
      <c r="T62" s="16">
        <v>-1064.04</v>
      </c>
      <c r="U62" s="16">
        <v>1.47</v>
      </c>
      <c r="V62" s="16">
        <v>-389.75</v>
      </c>
      <c r="W62" s="16">
        <v>8.84</v>
      </c>
      <c r="X62" s="4"/>
      <c r="Y62" s="16">
        <v>8.14</v>
      </c>
      <c r="Z62" s="4"/>
      <c r="AA62" s="4"/>
      <c r="AB62" s="42">
        <f t="shared" si="1"/>
        <v>-61.080000000000169</v>
      </c>
    </row>
    <row r="63" spans="1:28" ht="16.5" thickBot="1">
      <c r="A63" s="1" t="s">
        <v>51</v>
      </c>
      <c r="B63" s="36" t="s">
        <v>143</v>
      </c>
      <c r="C63" s="16">
        <v>3.26</v>
      </c>
      <c r="D63" s="4"/>
      <c r="E63" s="16">
        <v>3.26</v>
      </c>
      <c r="F63" s="4"/>
      <c r="G63" s="16">
        <v>2.66</v>
      </c>
      <c r="H63" s="4"/>
      <c r="I63" s="16">
        <v>3.65</v>
      </c>
      <c r="J63" s="4"/>
      <c r="K63" s="16">
        <v>73.739999999999995</v>
      </c>
      <c r="L63" s="4"/>
      <c r="M63" s="16">
        <v>81.13</v>
      </c>
      <c r="N63" s="4"/>
      <c r="O63" s="16">
        <v>145.78</v>
      </c>
      <c r="P63" s="16">
        <v>-377.18</v>
      </c>
      <c r="Q63" s="16">
        <v>3.38</v>
      </c>
      <c r="R63" s="16">
        <v>-145.78</v>
      </c>
      <c r="S63" s="16">
        <v>3.45</v>
      </c>
      <c r="T63" s="4"/>
      <c r="U63" s="16">
        <v>4.2699999999999996</v>
      </c>
      <c r="V63" s="4"/>
      <c r="W63" s="16">
        <v>3.42</v>
      </c>
      <c r="X63" s="4"/>
      <c r="Y63" s="16">
        <v>3.37</v>
      </c>
      <c r="Z63" s="4"/>
      <c r="AA63" s="4"/>
      <c r="AB63" s="42">
        <f t="shared" si="1"/>
        <v>-191.59</v>
      </c>
    </row>
    <row r="64" spans="1:28" ht="16.5" thickBot="1">
      <c r="A64" s="48" t="s">
        <v>52</v>
      </c>
      <c r="B64" s="47" t="s">
        <v>144</v>
      </c>
      <c r="C64" s="46" t="s">
        <v>202</v>
      </c>
      <c r="D64" s="45"/>
      <c r="E64" s="46" t="s">
        <v>202</v>
      </c>
      <c r="F64" s="45"/>
      <c r="G64" s="46" t="s">
        <v>202</v>
      </c>
      <c r="H64" s="45"/>
      <c r="I64" s="46">
        <v>170.63</v>
      </c>
      <c r="J64" s="45"/>
      <c r="K64" s="46">
        <v>297.82</v>
      </c>
      <c r="L64" s="45"/>
      <c r="M64" s="46">
        <v>163.15</v>
      </c>
      <c r="N64" s="46">
        <v>-300</v>
      </c>
      <c r="O64" s="46">
        <v>129.72999999999999</v>
      </c>
      <c r="P64" s="45"/>
      <c r="Q64" s="46">
        <v>177.78</v>
      </c>
      <c r="R64" s="46">
        <f>-461.33-300</f>
        <v>-761.32999999999993</v>
      </c>
      <c r="S64" s="46">
        <v>121.54</v>
      </c>
      <c r="T64" s="46">
        <v>-177.78</v>
      </c>
      <c r="U64" s="46">
        <v>321.25</v>
      </c>
      <c r="V64" s="45"/>
      <c r="W64" s="46">
        <v>23.26</v>
      </c>
      <c r="X64" s="46">
        <v>-321.25</v>
      </c>
      <c r="Y64" s="46" t="s">
        <v>202</v>
      </c>
      <c r="Z64" s="45"/>
      <c r="AA64" s="45"/>
      <c r="AB64" s="42">
        <f t="shared" si="1"/>
        <v>-155.19999999999993</v>
      </c>
    </row>
    <row r="65" spans="1:28" ht="16.5" thickBot="1">
      <c r="A65" s="1" t="s">
        <v>53</v>
      </c>
      <c r="B65" s="36" t="s">
        <v>204</v>
      </c>
      <c r="C65" s="16" t="s">
        <v>202</v>
      </c>
      <c r="D65" s="4"/>
      <c r="E65" s="16" t="s">
        <v>202</v>
      </c>
      <c r="F65" s="4"/>
      <c r="G65" s="16" t="s">
        <v>202</v>
      </c>
      <c r="H65" s="4"/>
      <c r="I65" s="16" t="s">
        <v>202</v>
      </c>
      <c r="J65" s="4"/>
      <c r="K65" s="16" t="s">
        <v>202</v>
      </c>
      <c r="L65" s="4"/>
      <c r="M65" s="16" t="s">
        <v>202</v>
      </c>
      <c r="N65" s="4"/>
      <c r="O65" s="16" t="s">
        <v>202</v>
      </c>
      <c r="P65" s="4"/>
      <c r="Q65" s="16" t="s">
        <v>202</v>
      </c>
      <c r="R65" s="4"/>
      <c r="S65" s="16" t="s">
        <v>202</v>
      </c>
      <c r="T65" s="4"/>
      <c r="U65" s="16" t="s">
        <v>202</v>
      </c>
      <c r="V65" s="4"/>
      <c r="W65" s="16" t="s">
        <v>202</v>
      </c>
      <c r="X65" s="4"/>
      <c r="Y65" s="16" t="s">
        <v>202</v>
      </c>
      <c r="Z65" s="4"/>
      <c r="AA65" s="4"/>
      <c r="AB65" s="42">
        <f t="shared" si="1"/>
        <v>0</v>
      </c>
    </row>
    <row r="66" spans="1:28" ht="16.5" thickBot="1">
      <c r="A66" s="1" t="s">
        <v>187</v>
      </c>
      <c r="B66" s="36" t="s">
        <v>145</v>
      </c>
      <c r="C66" s="16">
        <v>2.4300000000000002</v>
      </c>
      <c r="D66" s="4"/>
      <c r="E66" s="16">
        <v>2.46</v>
      </c>
      <c r="F66" s="4"/>
      <c r="G66" s="16">
        <v>2</v>
      </c>
      <c r="H66" s="4"/>
      <c r="I66" s="16">
        <v>2.79</v>
      </c>
      <c r="J66" s="4"/>
      <c r="K66" s="16">
        <v>5.17</v>
      </c>
      <c r="L66" s="4"/>
      <c r="M66" s="16">
        <v>18.53</v>
      </c>
      <c r="N66" s="4"/>
      <c r="O66" s="16">
        <v>22.32</v>
      </c>
      <c r="P66" s="4"/>
      <c r="Q66" s="16">
        <v>114.18</v>
      </c>
      <c r="R66" s="16">
        <v>-77.260000000000005</v>
      </c>
      <c r="S66" s="16">
        <v>15.96</v>
      </c>
      <c r="T66" s="4"/>
      <c r="U66" s="16">
        <v>8.01</v>
      </c>
      <c r="V66" s="4"/>
      <c r="W66" s="16">
        <v>2.54</v>
      </c>
      <c r="X66" s="4"/>
      <c r="Y66" s="16">
        <v>2.54</v>
      </c>
      <c r="Z66" s="4"/>
      <c r="AA66" s="4"/>
      <c r="AB66" s="42">
        <f t="shared" si="1"/>
        <v>121.67</v>
      </c>
    </row>
    <row r="67" spans="1:28" ht="16.5" thickBot="1">
      <c r="A67" s="1" t="s">
        <v>54</v>
      </c>
      <c r="B67" s="36" t="s">
        <v>146</v>
      </c>
      <c r="C67" s="16">
        <v>2.82</v>
      </c>
      <c r="D67" s="4"/>
      <c r="E67" s="16">
        <v>2.72</v>
      </c>
      <c r="F67" s="4"/>
      <c r="G67" s="16">
        <v>2.61</v>
      </c>
      <c r="H67" s="4"/>
      <c r="I67" s="16">
        <v>2.79</v>
      </c>
      <c r="J67" s="4"/>
      <c r="K67" s="16">
        <v>99.16</v>
      </c>
      <c r="L67" s="4"/>
      <c r="M67" s="16">
        <v>461.91</v>
      </c>
      <c r="N67" s="4"/>
      <c r="O67" s="16">
        <v>398.36</v>
      </c>
      <c r="P67" s="16">
        <v>-561.07000000000005</v>
      </c>
      <c r="Q67" s="16">
        <v>362.99</v>
      </c>
      <c r="R67" s="16">
        <v>-684.81</v>
      </c>
      <c r="S67" s="16">
        <v>168.23</v>
      </c>
      <c r="T67" s="4"/>
      <c r="U67" s="16">
        <v>4.1100000000000003</v>
      </c>
      <c r="V67" s="4"/>
      <c r="W67" s="16">
        <v>3.02</v>
      </c>
      <c r="X67" s="16">
        <v>-550</v>
      </c>
      <c r="Y67" s="16">
        <v>2.97</v>
      </c>
      <c r="Z67" s="4"/>
      <c r="AA67" s="4"/>
      <c r="AB67" s="42">
        <f t="shared" si="1"/>
        <v>-284.19</v>
      </c>
    </row>
    <row r="68" spans="1:28" ht="16.5" thickBot="1">
      <c r="A68" s="93" t="s">
        <v>55</v>
      </c>
      <c r="B68" s="92" t="s">
        <v>147</v>
      </c>
      <c r="C68" s="16">
        <v>0.65</v>
      </c>
      <c r="D68" s="4"/>
      <c r="E68" s="16">
        <v>0.66</v>
      </c>
      <c r="F68" s="4"/>
      <c r="G68" s="16">
        <v>0.55000000000000004</v>
      </c>
      <c r="H68" s="4"/>
      <c r="I68" s="16">
        <v>0.79</v>
      </c>
      <c r="J68" s="4"/>
      <c r="K68" s="16">
        <v>4.8899999999999997</v>
      </c>
      <c r="L68" s="4"/>
      <c r="M68" s="16">
        <v>16.649999999999999</v>
      </c>
      <c r="N68" s="4"/>
      <c r="O68" s="16">
        <v>336.62</v>
      </c>
      <c r="P68" s="16">
        <v>-790.89</v>
      </c>
      <c r="Q68" s="16">
        <v>405.47</v>
      </c>
      <c r="R68" s="4"/>
      <c r="S68" s="16">
        <v>188.52</v>
      </c>
      <c r="T68" s="16">
        <v>-707.13</v>
      </c>
      <c r="U68" s="16">
        <v>1.51</v>
      </c>
      <c r="V68" s="4"/>
      <c r="W68" s="16">
        <v>0.7</v>
      </c>
      <c r="X68" s="4"/>
      <c r="Y68" s="16">
        <v>0.56000000000000005</v>
      </c>
      <c r="Z68" s="4"/>
      <c r="AA68" s="4"/>
      <c r="AB68" s="42">
        <f t="shared" si="1"/>
        <v>-540.44999999999993</v>
      </c>
    </row>
    <row r="69" spans="1:28" ht="16.5" thickBot="1">
      <c r="A69" s="93" t="s">
        <v>56</v>
      </c>
      <c r="B69" s="92" t="s">
        <v>148</v>
      </c>
      <c r="C69" s="16" t="s">
        <v>202</v>
      </c>
      <c r="D69" s="4"/>
      <c r="E69" s="16" t="s">
        <v>202</v>
      </c>
      <c r="F69" s="4"/>
      <c r="G69" s="16" t="s">
        <v>202</v>
      </c>
      <c r="H69" s="4"/>
      <c r="I69" s="16">
        <v>15.57</v>
      </c>
      <c r="J69" s="4"/>
      <c r="K69" s="16">
        <v>100.74</v>
      </c>
      <c r="L69" s="4"/>
      <c r="M69" s="16">
        <v>313.2</v>
      </c>
      <c r="N69" s="4"/>
      <c r="O69" s="16">
        <v>367.15</v>
      </c>
      <c r="P69" s="16">
        <v>-560</v>
      </c>
      <c r="Q69" s="16">
        <v>265.35000000000002</v>
      </c>
      <c r="R69" s="4"/>
      <c r="S69" s="16">
        <v>142.37</v>
      </c>
      <c r="T69" s="4"/>
      <c r="U69" s="16">
        <v>85.33</v>
      </c>
      <c r="V69" s="4"/>
      <c r="W69" s="16">
        <v>7.07</v>
      </c>
      <c r="X69" s="4"/>
      <c r="Y69" s="16" t="s">
        <v>202</v>
      </c>
      <c r="Z69" s="4"/>
      <c r="AA69" s="4"/>
      <c r="AB69" s="42">
        <f t="shared" si="1"/>
        <v>736.78000000000009</v>
      </c>
    </row>
    <row r="70" spans="1:28" ht="16.5" thickBot="1">
      <c r="A70" s="91" t="s">
        <v>57</v>
      </c>
      <c r="B70" s="38" t="s">
        <v>149</v>
      </c>
      <c r="C70" s="16">
        <v>3.12</v>
      </c>
      <c r="D70" s="4"/>
      <c r="E70" s="16">
        <v>3.07</v>
      </c>
      <c r="F70" s="4"/>
      <c r="G70" s="16">
        <v>2.5299999999999998</v>
      </c>
      <c r="H70" s="4"/>
      <c r="I70" s="16">
        <v>3.56</v>
      </c>
      <c r="J70" s="4"/>
      <c r="K70" s="16">
        <v>27.86</v>
      </c>
      <c r="L70" s="4"/>
      <c r="M70" s="16">
        <v>162.15</v>
      </c>
      <c r="N70" s="4"/>
      <c r="O70" s="16">
        <v>242.44</v>
      </c>
      <c r="P70" s="16">
        <v>-172.2</v>
      </c>
      <c r="Q70" s="16">
        <v>191.03</v>
      </c>
      <c r="R70" s="4"/>
      <c r="S70" s="16">
        <v>102.66</v>
      </c>
      <c r="T70" s="4"/>
      <c r="U70" s="16">
        <v>15.1</v>
      </c>
      <c r="V70" s="4"/>
      <c r="W70" s="16">
        <v>84.7</v>
      </c>
      <c r="X70" s="4"/>
      <c r="Y70" s="16">
        <v>3.19</v>
      </c>
      <c r="Z70" s="4"/>
      <c r="AA70" s="4"/>
      <c r="AB70" s="42">
        <f t="shared" si="1"/>
        <v>669.21000000000015</v>
      </c>
    </row>
    <row r="71" spans="1:28" ht="16.5" thickBot="1">
      <c r="A71" s="91" t="s">
        <v>58</v>
      </c>
      <c r="B71" s="38" t="s">
        <v>150</v>
      </c>
      <c r="C71" s="16">
        <v>2.61</v>
      </c>
      <c r="D71" s="4"/>
      <c r="E71" s="16">
        <v>2.65</v>
      </c>
      <c r="F71" s="4"/>
      <c r="G71" s="16">
        <v>2.14</v>
      </c>
      <c r="H71" s="4"/>
      <c r="I71" s="16">
        <v>3.03</v>
      </c>
      <c r="J71" s="4"/>
      <c r="K71" s="16">
        <v>6.81</v>
      </c>
      <c r="L71" s="4"/>
      <c r="M71" s="16">
        <v>21.96</v>
      </c>
      <c r="N71" s="4"/>
      <c r="O71" s="16">
        <v>96.92</v>
      </c>
      <c r="P71" s="16">
        <v>-224.35</v>
      </c>
      <c r="Q71" s="16">
        <v>16.079999999999998</v>
      </c>
      <c r="R71" s="4"/>
      <c r="S71" s="16">
        <v>108.89</v>
      </c>
      <c r="T71" s="16">
        <v>-118.96</v>
      </c>
      <c r="U71" s="16">
        <v>19.2</v>
      </c>
      <c r="V71" s="4"/>
      <c r="W71" s="16">
        <v>4.13</v>
      </c>
      <c r="X71" s="4"/>
      <c r="Y71" s="16">
        <v>2.69</v>
      </c>
      <c r="Z71" s="4"/>
      <c r="AA71" s="4"/>
      <c r="AB71" s="42">
        <f t="shared" si="1"/>
        <v>-56.199999999999982</v>
      </c>
    </row>
    <row r="72" spans="1:28" ht="16.5" thickBot="1">
      <c r="A72" s="1" t="s">
        <v>59</v>
      </c>
      <c r="B72" s="36" t="s">
        <v>151</v>
      </c>
      <c r="C72" s="16">
        <v>2.52</v>
      </c>
      <c r="D72" s="4"/>
      <c r="E72" s="16">
        <v>2.42</v>
      </c>
      <c r="F72" s="4"/>
      <c r="G72" s="16">
        <v>2.04</v>
      </c>
      <c r="H72" s="4"/>
      <c r="I72" s="16">
        <v>2.86</v>
      </c>
      <c r="J72" s="4"/>
      <c r="K72" s="16">
        <v>22.16</v>
      </c>
      <c r="L72" s="4"/>
      <c r="M72" s="16">
        <v>40.82</v>
      </c>
      <c r="N72" s="4"/>
      <c r="O72" s="16">
        <v>43.78</v>
      </c>
      <c r="P72" s="4"/>
      <c r="Q72" s="16">
        <v>36.14</v>
      </c>
      <c r="R72" s="4"/>
      <c r="S72" s="16">
        <v>27.01</v>
      </c>
      <c r="T72" s="4"/>
      <c r="U72" s="16">
        <v>27.18</v>
      </c>
      <c r="V72" s="16">
        <v>-63.15</v>
      </c>
      <c r="W72" s="16">
        <v>4.75</v>
      </c>
      <c r="X72" s="4"/>
      <c r="Y72" s="16">
        <v>2.6</v>
      </c>
      <c r="Z72" s="4"/>
      <c r="AA72" s="4"/>
      <c r="AB72" s="42">
        <f t="shared" si="1"/>
        <v>151.13</v>
      </c>
    </row>
    <row r="73" spans="1:28" ht="16.5" thickBot="1">
      <c r="A73" s="1" t="s">
        <v>60</v>
      </c>
      <c r="B73" s="36" t="s">
        <v>152</v>
      </c>
      <c r="C73" s="16">
        <v>3.31</v>
      </c>
      <c r="D73" s="4"/>
      <c r="E73" s="16">
        <v>3.21</v>
      </c>
      <c r="F73" s="4"/>
      <c r="G73" s="16">
        <v>2.65</v>
      </c>
      <c r="H73" s="4"/>
      <c r="I73" s="16">
        <v>3.75</v>
      </c>
      <c r="J73" s="4"/>
      <c r="K73" s="16">
        <v>36.130000000000003</v>
      </c>
      <c r="L73" s="4"/>
      <c r="M73" s="16">
        <v>51.87</v>
      </c>
      <c r="N73" s="16">
        <v>-283.02</v>
      </c>
      <c r="O73" s="16">
        <v>34.43</v>
      </c>
      <c r="P73" s="4"/>
      <c r="Q73" s="16">
        <v>49.12</v>
      </c>
      <c r="R73" s="4"/>
      <c r="S73" s="16">
        <v>59.29</v>
      </c>
      <c r="T73" s="4"/>
      <c r="U73" s="16">
        <v>24.59</v>
      </c>
      <c r="V73" s="4"/>
      <c r="W73" s="16">
        <v>12.25</v>
      </c>
      <c r="X73" s="4"/>
      <c r="Y73" s="16">
        <v>9.25</v>
      </c>
      <c r="Z73" s="4"/>
      <c r="AA73" s="4"/>
      <c r="AB73" s="42">
        <f t="shared" si="1"/>
        <v>6.8300000000000445</v>
      </c>
    </row>
    <row r="74" spans="1:28" ht="16.5" thickBot="1">
      <c r="A74" s="1" t="s">
        <v>61</v>
      </c>
      <c r="B74" s="36" t="s">
        <v>153</v>
      </c>
      <c r="C74" s="16">
        <v>0.66</v>
      </c>
      <c r="D74" s="4"/>
      <c r="E74" s="16">
        <v>0.7</v>
      </c>
      <c r="F74" s="4"/>
      <c r="G74" s="16">
        <v>0.6</v>
      </c>
      <c r="H74" s="4"/>
      <c r="I74" s="16">
        <v>0.86</v>
      </c>
      <c r="J74" s="4"/>
      <c r="K74" s="16">
        <v>86.66</v>
      </c>
      <c r="L74" s="4"/>
      <c r="M74" s="16">
        <v>224.53</v>
      </c>
      <c r="N74" s="16">
        <v>-501.53</v>
      </c>
      <c r="O74" s="16">
        <v>369.81</v>
      </c>
      <c r="P74" s="4"/>
      <c r="Q74" s="16">
        <v>370.89</v>
      </c>
      <c r="R74" s="16">
        <v>-594.34</v>
      </c>
      <c r="S74" s="16">
        <v>269.7</v>
      </c>
      <c r="T74" s="16">
        <v>-870.89</v>
      </c>
      <c r="U74" s="16">
        <v>8.0299999999999994</v>
      </c>
      <c r="V74" s="4"/>
      <c r="W74" s="16">
        <v>0.74</v>
      </c>
      <c r="X74" s="4"/>
      <c r="Y74" s="16">
        <v>0.7</v>
      </c>
      <c r="Z74" s="4"/>
      <c r="AA74" s="4"/>
      <c r="AB74" s="42">
        <f t="shared" si="1"/>
        <v>-632.87999999999988</v>
      </c>
    </row>
    <row r="75" spans="1:28" ht="16.5" thickBot="1">
      <c r="A75" s="1" t="s">
        <v>62</v>
      </c>
      <c r="B75" s="36" t="s">
        <v>154</v>
      </c>
      <c r="C75" s="16" t="s">
        <v>202</v>
      </c>
      <c r="D75" s="4"/>
      <c r="E75" s="16" t="s">
        <v>202</v>
      </c>
      <c r="F75" s="4"/>
      <c r="G75" s="16" t="s">
        <v>202</v>
      </c>
      <c r="H75" s="4"/>
      <c r="I75" s="16" t="s">
        <v>202</v>
      </c>
      <c r="J75" s="4"/>
      <c r="K75" s="16">
        <v>328.88</v>
      </c>
      <c r="L75" s="4"/>
      <c r="M75" s="16">
        <v>470.75</v>
      </c>
      <c r="N75" s="16">
        <v>-478.15</v>
      </c>
      <c r="O75" s="16">
        <v>208.5</v>
      </c>
      <c r="P75" s="4"/>
      <c r="Q75" s="16">
        <v>409.51</v>
      </c>
      <c r="R75" s="16">
        <v>-679.25</v>
      </c>
      <c r="S75" s="16">
        <v>847.74</v>
      </c>
      <c r="T75" s="16">
        <v>-409.51</v>
      </c>
      <c r="U75" s="16">
        <v>3.41</v>
      </c>
      <c r="V75" s="16">
        <v>-847.74</v>
      </c>
      <c r="W75" s="16" t="s">
        <v>202</v>
      </c>
      <c r="X75" s="4"/>
      <c r="Y75" s="16" t="s">
        <v>202</v>
      </c>
      <c r="Z75" s="4"/>
      <c r="AA75" s="4"/>
      <c r="AB75" s="42">
        <f t="shared" ref="AB75:AB100" si="2">SUM(C75:AA75)</f>
        <v>-145.86000000000001</v>
      </c>
    </row>
    <row r="76" spans="1:28" ht="16.5" thickBot="1">
      <c r="A76" s="48" t="s">
        <v>63</v>
      </c>
      <c r="B76" s="47" t="s">
        <v>173</v>
      </c>
      <c r="C76" s="46">
        <v>2.66</v>
      </c>
      <c r="D76" s="45"/>
      <c r="E76" s="46" t="s">
        <v>202</v>
      </c>
      <c r="F76" s="45"/>
      <c r="G76" s="46" t="s">
        <v>202</v>
      </c>
      <c r="H76" s="45"/>
      <c r="I76" s="46" t="s">
        <v>202</v>
      </c>
      <c r="J76" s="45"/>
      <c r="K76" s="46">
        <v>84.61</v>
      </c>
      <c r="L76" s="45"/>
      <c r="M76" s="46">
        <v>122.36</v>
      </c>
      <c r="N76" s="46">
        <v>-1300</v>
      </c>
      <c r="O76" s="46">
        <v>203.91</v>
      </c>
      <c r="P76" s="45"/>
      <c r="Q76" s="46">
        <v>223.04</v>
      </c>
      <c r="R76" s="46">
        <v>-2122.23</v>
      </c>
      <c r="S76" s="46">
        <v>190.52</v>
      </c>
      <c r="T76" s="45"/>
      <c r="U76" s="46">
        <v>143.49</v>
      </c>
      <c r="V76" s="45"/>
      <c r="W76" s="46">
        <v>3.33</v>
      </c>
      <c r="X76" s="45"/>
      <c r="Y76" s="46">
        <v>3.08</v>
      </c>
      <c r="Z76" s="45"/>
      <c r="AA76" s="45"/>
      <c r="AB76" s="42">
        <f t="shared" si="2"/>
        <v>-2445.2300000000005</v>
      </c>
    </row>
    <row r="77" spans="1:28" ht="16.5" thickBot="1">
      <c r="A77" s="48" t="s">
        <v>186</v>
      </c>
      <c r="B77" s="47" t="s">
        <v>173</v>
      </c>
      <c r="C77" s="46">
        <v>0.44</v>
      </c>
      <c r="D77" s="45"/>
      <c r="E77" s="46">
        <v>0.42</v>
      </c>
      <c r="F77" s="45"/>
      <c r="G77" s="46">
        <v>0.31</v>
      </c>
      <c r="H77" s="45"/>
      <c r="I77" s="46">
        <v>0.42</v>
      </c>
      <c r="J77" s="45"/>
      <c r="K77" s="46">
        <v>39.69</v>
      </c>
      <c r="L77" s="45"/>
      <c r="M77" s="46">
        <v>35.56</v>
      </c>
      <c r="N77" s="45"/>
      <c r="O77" s="46">
        <v>26.69</v>
      </c>
      <c r="P77" s="45"/>
      <c r="Q77" s="46">
        <v>17.18</v>
      </c>
      <c r="R77" s="45"/>
      <c r="S77" s="46">
        <v>61.52</v>
      </c>
      <c r="T77" s="45"/>
      <c r="U77" s="46">
        <v>245.35</v>
      </c>
      <c r="V77" s="45"/>
      <c r="W77" s="46">
        <v>0.44</v>
      </c>
      <c r="X77" s="45"/>
      <c r="Y77" s="46">
        <v>0.43</v>
      </c>
      <c r="Z77" s="45"/>
      <c r="AA77" s="45"/>
      <c r="AB77" s="42">
        <f t="shared" si="2"/>
        <v>428.45000000000005</v>
      </c>
    </row>
    <row r="78" spans="1:28" ht="16.5" thickBot="1">
      <c r="A78" s="74" t="s">
        <v>64</v>
      </c>
      <c r="B78" s="73" t="s">
        <v>174</v>
      </c>
      <c r="C78" s="72">
        <v>876.29</v>
      </c>
      <c r="D78" s="71"/>
      <c r="E78" s="72">
        <v>761.72</v>
      </c>
      <c r="F78" s="71"/>
      <c r="G78" s="72">
        <v>768.27</v>
      </c>
      <c r="H78" s="71"/>
      <c r="I78" s="72">
        <v>778.3</v>
      </c>
      <c r="J78" s="71"/>
      <c r="K78" s="72">
        <v>860.48</v>
      </c>
      <c r="L78" s="72">
        <v>-4719.6400000000003</v>
      </c>
      <c r="M78" s="72">
        <v>722.98</v>
      </c>
      <c r="N78" s="71"/>
      <c r="O78" s="72">
        <v>760.05</v>
      </c>
      <c r="P78" s="71"/>
      <c r="Q78" s="72">
        <v>1018.45</v>
      </c>
      <c r="R78" s="72">
        <v>-5175.76</v>
      </c>
      <c r="S78" s="72">
        <v>614.54</v>
      </c>
      <c r="T78" s="71"/>
      <c r="U78" s="72">
        <v>797.1</v>
      </c>
      <c r="V78" s="71"/>
      <c r="W78" s="72">
        <v>714.57</v>
      </c>
      <c r="X78" s="71"/>
      <c r="Y78" s="72">
        <v>859.36</v>
      </c>
      <c r="Z78" s="71"/>
      <c r="AA78" s="71"/>
      <c r="AB78" s="42">
        <f t="shared" si="2"/>
        <v>-363.29000000000053</v>
      </c>
    </row>
    <row r="79" spans="1:28" ht="16.5" thickBot="1">
      <c r="A79" s="74" t="s">
        <v>185</v>
      </c>
      <c r="B79" s="73" t="s">
        <v>174</v>
      </c>
      <c r="C79" s="72">
        <v>304.45999999999998</v>
      </c>
      <c r="D79" s="71"/>
      <c r="E79" s="72">
        <v>2.63</v>
      </c>
      <c r="F79" s="71"/>
      <c r="G79" s="72">
        <v>303.04000000000002</v>
      </c>
      <c r="H79" s="71"/>
      <c r="I79" s="72">
        <v>36.74</v>
      </c>
      <c r="J79" s="71"/>
      <c r="K79" s="72">
        <v>38.85</v>
      </c>
      <c r="L79" s="71"/>
      <c r="M79" s="72">
        <v>89.17</v>
      </c>
      <c r="N79" s="71"/>
      <c r="O79" s="72">
        <v>114.23</v>
      </c>
      <c r="P79" s="71"/>
      <c r="Q79" s="72">
        <v>95.58</v>
      </c>
      <c r="R79" s="71"/>
      <c r="S79" s="72">
        <v>56.68</v>
      </c>
      <c r="T79" s="71"/>
      <c r="U79" s="72">
        <v>321.08</v>
      </c>
      <c r="V79" s="71"/>
      <c r="W79" s="72">
        <v>17.57</v>
      </c>
      <c r="X79" s="71"/>
      <c r="Y79" s="72">
        <v>30.59</v>
      </c>
      <c r="Z79" s="71"/>
      <c r="AA79" s="71"/>
      <c r="AB79" s="42">
        <f t="shared" si="2"/>
        <v>1410.62</v>
      </c>
    </row>
    <row r="80" spans="1:28" ht="16.5" thickBot="1">
      <c r="A80" s="1" t="s">
        <v>65</v>
      </c>
      <c r="B80" s="36" t="s">
        <v>175</v>
      </c>
      <c r="C80" s="16">
        <v>0.66</v>
      </c>
      <c r="D80" s="4"/>
      <c r="E80" s="16">
        <v>0.65</v>
      </c>
      <c r="F80" s="4"/>
      <c r="G80" s="16">
        <v>0.55000000000000004</v>
      </c>
      <c r="H80" s="4"/>
      <c r="I80" s="16">
        <v>0.75</v>
      </c>
      <c r="J80" s="4"/>
      <c r="K80" s="16">
        <v>55.78</v>
      </c>
      <c r="L80" s="4"/>
      <c r="M80" s="16">
        <v>7.05</v>
      </c>
      <c r="N80" s="4"/>
      <c r="O80" s="16">
        <v>9.1</v>
      </c>
      <c r="P80" s="4"/>
      <c r="Q80" s="16">
        <v>1.07</v>
      </c>
      <c r="R80" s="16">
        <v>-106.6</v>
      </c>
      <c r="S80" s="16">
        <v>1.17</v>
      </c>
      <c r="T80" s="4"/>
      <c r="U80" s="16">
        <v>1.06</v>
      </c>
      <c r="V80" s="4"/>
      <c r="W80" s="16">
        <v>2.44</v>
      </c>
      <c r="X80" s="4"/>
      <c r="Y80" s="16">
        <v>0.73</v>
      </c>
      <c r="Z80" s="4"/>
      <c r="AA80" s="4"/>
      <c r="AB80" s="42">
        <f t="shared" si="2"/>
        <v>-25.590000000000007</v>
      </c>
    </row>
    <row r="81" spans="1:28" ht="16.5" thickBot="1">
      <c r="A81" s="48" t="s">
        <v>66</v>
      </c>
      <c r="B81" s="47" t="s">
        <v>176</v>
      </c>
      <c r="C81" s="46">
        <v>429.66</v>
      </c>
      <c r="D81" s="45"/>
      <c r="E81" s="46">
        <v>422.62</v>
      </c>
      <c r="F81" s="45"/>
      <c r="G81" s="46">
        <v>322.45</v>
      </c>
      <c r="H81" s="45"/>
      <c r="I81" s="46">
        <v>491.73</v>
      </c>
      <c r="J81" s="45"/>
      <c r="K81" s="46">
        <v>417.16</v>
      </c>
      <c r="L81" s="45"/>
      <c r="M81" s="46">
        <v>434.41</v>
      </c>
      <c r="N81" s="46">
        <v>-1515.61</v>
      </c>
      <c r="O81" s="46">
        <v>533.6</v>
      </c>
      <c r="P81" s="45"/>
      <c r="Q81" s="46">
        <v>563.49</v>
      </c>
      <c r="R81" s="45"/>
      <c r="S81" s="46">
        <v>509.09</v>
      </c>
      <c r="T81" s="46">
        <v>-968.01</v>
      </c>
      <c r="U81" s="46">
        <v>495.67</v>
      </c>
      <c r="V81" s="46">
        <v>-1072.58</v>
      </c>
      <c r="W81" s="46">
        <v>482.92</v>
      </c>
      <c r="X81" s="46">
        <v>-495.67</v>
      </c>
      <c r="Y81" s="46">
        <v>453.95</v>
      </c>
      <c r="Z81" s="45"/>
      <c r="AA81" s="45"/>
      <c r="AB81" s="42">
        <f t="shared" si="2"/>
        <v>1504.8800000000003</v>
      </c>
    </row>
    <row r="82" spans="1:28" ht="16.5" thickBot="1">
      <c r="A82" s="1" t="s">
        <v>67</v>
      </c>
      <c r="B82" s="36" t="s">
        <v>177</v>
      </c>
      <c r="C82" s="16">
        <v>2.38</v>
      </c>
      <c r="D82" s="4"/>
      <c r="E82" s="16">
        <v>2.34</v>
      </c>
      <c r="F82" s="4"/>
      <c r="G82" s="16">
        <v>1.91</v>
      </c>
      <c r="H82" s="4"/>
      <c r="I82" s="16">
        <v>2.68</v>
      </c>
      <c r="J82" s="4"/>
      <c r="K82" s="16">
        <v>386.82</v>
      </c>
      <c r="L82" s="4"/>
      <c r="M82" s="16">
        <v>130.79</v>
      </c>
      <c r="N82" s="4"/>
      <c r="O82" s="16">
        <v>115.86</v>
      </c>
      <c r="P82" s="16">
        <v>-700</v>
      </c>
      <c r="Q82" s="16">
        <v>254.59</v>
      </c>
      <c r="R82" s="16">
        <v>-115.86</v>
      </c>
      <c r="S82" s="16">
        <v>127.05</v>
      </c>
      <c r="T82" s="16">
        <v>-254.59</v>
      </c>
      <c r="U82" s="16">
        <v>5.24</v>
      </c>
      <c r="V82" s="4"/>
      <c r="W82" s="16">
        <v>2.46</v>
      </c>
      <c r="X82" s="4"/>
      <c r="Y82" s="16">
        <v>2.46</v>
      </c>
      <c r="Z82" s="4"/>
      <c r="AA82" s="4"/>
      <c r="AB82" s="42">
        <f t="shared" si="2"/>
        <v>-35.870000000000026</v>
      </c>
    </row>
    <row r="83" spans="1:28" ht="16.5" thickBot="1">
      <c r="A83" s="1" t="s">
        <v>68</v>
      </c>
      <c r="B83" s="36" t="s">
        <v>178</v>
      </c>
      <c r="C83" s="16">
        <v>189.81</v>
      </c>
      <c r="D83" s="4"/>
      <c r="E83" s="16">
        <v>34.96</v>
      </c>
      <c r="F83" s="4"/>
      <c r="G83" s="16">
        <v>69.650000000000006</v>
      </c>
      <c r="H83" s="4"/>
      <c r="I83" s="16">
        <v>12.03</v>
      </c>
      <c r="J83" s="4"/>
      <c r="K83" s="16">
        <v>238.28</v>
      </c>
      <c r="L83" s="4"/>
      <c r="M83" s="16">
        <v>650.14</v>
      </c>
      <c r="N83" s="4"/>
      <c r="O83" s="16">
        <v>710.54</v>
      </c>
      <c r="P83" s="16">
        <f>-1606.22-650.14</f>
        <v>-2256.36</v>
      </c>
      <c r="Q83" s="16">
        <v>1102.25</v>
      </c>
      <c r="R83" s="16">
        <v>-710.54</v>
      </c>
      <c r="S83" s="16">
        <v>490.66</v>
      </c>
      <c r="T83" s="16">
        <v>-1102.25</v>
      </c>
      <c r="U83" s="16">
        <v>45.33</v>
      </c>
      <c r="V83" s="4"/>
      <c r="W83" s="16">
        <v>12.99</v>
      </c>
      <c r="X83" s="4"/>
      <c r="Y83" s="16" t="s">
        <v>202</v>
      </c>
      <c r="Z83" s="16">
        <v>-370</v>
      </c>
      <c r="AA83" s="16"/>
      <c r="AB83" s="42">
        <f t="shared" si="2"/>
        <v>-882.5100000000001</v>
      </c>
    </row>
    <row r="84" spans="1:28" ht="16.5" thickBot="1">
      <c r="A84" s="1" t="s">
        <v>184</v>
      </c>
      <c r="B84" s="36" t="s">
        <v>183</v>
      </c>
      <c r="C84" s="16">
        <v>0.04</v>
      </c>
      <c r="D84" s="4"/>
      <c r="E84" s="16" t="s">
        <v>202</v>
      </c>
      <c r="F84" s="4"/>
      <c r="G84" s="16" t="s">
        <v>202</v>
      </c>
      <c r="H84" s="4"/>
      <c r="I84" s="16">
        <v>0.16</v>
      </c>
      <c r="J84" s="4"/>
      <c r="K84" s="16">
        <v>0.18</v>
      </c>
      <c r="L84" s="4"/>
      <c r="M84" s="16">
        <v>5.35</v>
      </c>
      <c r="N84" s="4"/>
      <c r="O84" s="16">
        <v>34.26</v>
      </c>
      <c r="P84" s="4"/>
      <c r="Q84" s="16">
        <v>10.77</v>
      </c>
      <c r="R84" s="4"/>
      <c r="S84" s="16">
        <v>1.58</v>
      </c>
      <c r="T84" s="4"/>
      <c r="U84" s="16">
        <v>0.45</v>
      </c>
      <c r="V84" s="4"/>
      <c r="W84" s="16">
        <v>0.04</v>
      </c>
      <c r="X84" s="4"/>
      <c r="Y84" s="16">
        <v>0.08</v>
      </c>
      <c r="Z84" s="4"/>
      <c r="AA84" s="4"/>
      <c r="AB84" s="42">
        <f t="shared" si="2"/>
        <v>52.909999999999989</v>
      </c>
    </row>
    <row r="85" spans="1:28" ht="16.5" thickBot="1">
      <c r="A85" s="48" t="s">
        <v>69</v>
      </c>
      <c r="B85" s="47" t="s">
        <v>155</v>
      </c>
      <c r="C85" s="46">
        <v>2.72</v>
      </c>
      <c r="D85" s="45"/>
      <c r="E85" s="46">
        <v>2.7</v>
      </c>
      <c r="F85" s="45"/>
      <c r="G85" s="46">
        <v>2.2000000000000002</v>
      </c>
      <c r="H85" s="45"/>
      <c r="I85" s="46">
        <v>3.01</v>
      </c>
      <c r="J85" s="45"/>
      <c r="K85" s="46">
        <v>0.1</v>
      </c>
      <c r="L85" s="45"/>
      <c r="M85" s="46">
        <v>15.69</v>
      </c>
      <c r="N85" s="45"/>
      <c r="O85" s="46">
        <v>84.94</v>
      </c>
      <c r="P85" s="45"/>
      <c r="Q85" s="46">
        <v>134.22</v>
      </c>
      <c r="R85" s="46">
        <v>-306.43</v>
      </c>
      <c r="S85" s="46">
        <v>137.41</v>
      </c>
      <c r="T85" s="45"/>
      <c r="U85" s="46">
        <v>219.88</v>
      </c>
      <c r="V85" s="46">
        <v>-271.63</v>
      </c>
      <c r="W85" s="46">
        <v>3.13</v>
      </c>
      <c r="X85" s="46">
        <v>-219.88</v>
      </c>
      <c r="Y85" s="46">
        <v>2.88</v>
      </c>
      <c r="Z85" s="45"/>
      <c r="AA85" s="45"/>
      <c r="AB85" s="42">
        <f t="shared" si="2"/>
        <v>-189.06000000000006</v>
      </c>
    </row>
    <row r="86" spans="1:28" ht="16.5" thickBot="1">
      <c r="A86" s="1" t="s">
        <v>70</v>
      </c>
      <c r="B86" s="36" t="s">
        <v>156</v>
      </c>
      <c r="C86" s="16">
        <v>3.46</v>
      </c>
      <c r="D86" s="4"/>
      <c r="E86" s="16" t="s">
        <v>202</v>
      </c>
      <c r="F86" s="4"/>
      <c r="G86" s="16" t="s">
        <v>202</v>
      </c>
      <c r="H86" s="4"/>
      <c r="I86" s="16" t="s">
        <v>202</v>
      </c>
      <c r="J86" s="4"/>
      <c r="K86" s="16">
        <v>206.37</v>
      </c>
      <c r="L86" s="4"/>
      <c r="M86" s="16">
        <v>152.52000000000001</v>
      </c>
      <c r="N86" s="4"/>
      <c r="O86" s="16">
        <v>262.47000000000003</v>
      </c>
      <c r="P86" s="4"/>
      <c r="Q86" s="16">
        <v>246.6</v>
      </c>
      <c r="R86" s="16">
        <v>-389.86</v>
      </c>
      <c r="S86" s="16">
        <v>329.32</v>
      </c>
      <c r="T86" s="4"/>
      <c r="U86" s="16">
        <v>57.52</v>
      </c>
      <c r="V86" s="4"/>
      <c r="W86" s="16">
        <v>4.29</v>
      </c>
      <c r="X86" s="4"/>
      <c r="Y86" s="16">
        <v>3.55</v>
      </c>
      <c r="Z86" s="4"/>
      <c r="AA86" s="4"/>
      <c r="AB86" s="42">
        <f t="shared" si="2"/>
        <v>876.24</v>
      </c>
    </row>
    <row r="87" spans="1:28" ht="16.5" thickBot="1">
      <c r="A87" s="1" t="s">
        <v>71</v>
      </c>
      <c r="B87" s="36" t="s">
        <v>157</v>
      </c>
      <c r="C87" s="16" t="s">
        <v>202</v>
      </c>
      <c r="D87" s="4"/>
      <c r="E87" s="16" t="s">
        <v>202</v>
      </c>
      <c r="F87" s="4"/>
      <c r="G87" s="16" t="s">
        <v>202</v>
      </c>
      <c r="H87" s="4"/>
      <c r="I87" s="16" t="s">
        <v>202</v>
      </c>
      <c r="J87" s="4"/>
      <c r="K87" s="16">
        <v>370.33</v>
      </c>
      <c r="L87" s="4"/>
      <c r="M87" s="16">
        <v>765.49</v>
      </c>
      <c r="N87" s="4"/>
      <c r="O87" s="16">
        <v>578.45000000000005</v>
      </c>
      <c r="P87" s="16">
        <v>-402.46</v>
      </c>
      <c r="Q87" s="16">
        <v>737.72</v>
      </c>
      <c r="R87" s="4"/>
      <c r="S87" s="16">
        <v>1108.25</v>
      </c>
      <c r="T87" s="16">
        <f>-1343.94-2500</f>
        <v>-3843.94</v>
      </c>
      <c r="U87" s="16">
        <v>155.54</v>
      </c>
      <c r="V87" s="4"/>
      <c r="W87" s="16">
        <v>20.63</v>
      </c>
      <c r="X87" s="4"/>
      <c r="Y87" s="16" t="s">
        <v>202</v>
      </c>
      <c r="Z87" s="4"/>
      <c r="AA87" s="4"/>
      <c r="AB87" s="42">
        <f t="shared" si="2"/>
        <v>-509.99000000000035</v>
      </c>
    </row>
    <row r="88" spans="1:28" ht="16.5" thickBot="1">
      <c r="A88" s="1" t="s">
        <v>72</v>
      </c>
      <c r="B88" s="36" t="s">
        <v>158</v>
      </c>
      <c r="C88" s="16">
        <v>3.7</v>
      </c>
      <c r="D88" s="4"/>
      <c r="E88" s="16" t="s">
        <v>202</v>
      </c>
      <c r="F88" s="4"/>
      <c r="G88" s="16" t="s">
        <v>202</v>
      </c>
      <c r="H88" s="4"/>
      <c r="I88" s="16" t="s">
        <v>202</v>
      </c>
      <c r="J88" s="4"/>
      <c r="K88" s="16">
        <v>231.5</v>
      </c>
      <c r="L88" s="4"/>
      <c r="M88" s="16">
        <v>320.95999999999998</v>
      </c>
      <c r="N88" s="16">
        <v>-322.3</v>
      </c>
      <c r="O88" s="16">
        <v>332.44</v>
      </c>
      <c r="P88" s="4"/>
      <c r="Q88" s="16">
        <v>494.86</v>
      </c>
      <c r="R88" s="4"/>
      <c r="S88" s="16">
        <v>234.44</v>
      </c>
      <c r="T88" s="4"/>
      <c r="U88" s="16">
        <v>91.64</v>
      </c>
      <c r="V88" s="4"/>
      <c r="W88" s="16">
        <v>3.93</v>
      </c>
      <c r="X88" s="4"/>
      <c r="Y88" s="16">
        <v>3.81</v>
      </c>
      <c r="Z88" s="16">
        <v>-1000</v>
      </c>
      <c r="AA88" s="16"/>
      <c r="AB88" s="42">
        <f t="shared" si="2"/>
        <v>394.98</v>
      </c>
    </row>
    <row r="89" spans="1:28" ht="16.5" thickBot="1">
      <c r="A89" s="1" t="s">
        <v>73</v>
      </c>
      <c r="B89" s="36" t="s">
        <v>159</v>
      </c>
      <c r="C89" s="16">
        <v>2.77</v>
      </c>
      <c r="D89" s="4"/>
      <c r="E89" s="16">
        <v>2.35</v>
      </c>
      <c r="F89" s="4"/>
      <c r="G89" s="16">
        <v>1.91</v>
      </c>
      <c r="H89" s="4"/>
      <c r="I89" s="16">
        <v>2.7</v>
      </c>
      <c r="J89" s="4"/>
      <c r="K89" s="16">
        <v>254.11</v>
      </c>
      <c r="L89" s="4"/>
      <c r="M89" s="16">
        <v>302.43</v>
      </c>
      <c r="N89" s="4"/>
      <c r="O89" s="16">
        <v>121.95</v>
      </c>
      <c r="P89" s="16">
        <v>-1319.7</v>
      </c>
      <c r="Q89" s="16">
        <v>183.9</v>
      </c>
      <c r="R89" s="4"/>
      <c r="S89" s="16">
        <v>334.32</v>
      </c>
      <c r="T89" s="4"/>
      <c r="U89" s="16">
        <v>141.37</v>
      </c>
      <c r="V89" s="4"/>
      <c r="W89" s="16">
        <v>2.54</v>
      </c>
      <c r="X89" s="4"/>
      <c r="Y89" s="16">
        <v>2.4900000000000002</v>
      </c>
      <c r="Z89" s="4"/>
      <c r="AA89" s="4"/>
      <c r="AB89" s="42">
        <f t="shared" si="2"/>
        <v>33.139999999999958</v>
      </c>
    </row>
    <row r="90" spans="1:28" ht="16.5" thickBot="1">
      <c r="A90" s="1" t="s">
        <v>74</v>
      </c>
      <c r="B90" s="36" t="s">
        <v>160</v>
      </c>
      <c r="C90" s="16" t="s">
        <v>202</v>
      </c>
      <c r="D90" s="4"/>
      <c r="E90" s="16" t="s">
        <v>202</v>
      </c>
      <c r="F90" s="4"/>
      <c r="G90" s="16" t="s">
        <v>202</v>
      </c>
      <c r="H90" s="4"/>
      <c r="I90" s="16" t="s">
        <v>202</v>
      </c>
      <c r="J90" s="4"/>
      <c r="K90" s="16" t="s">
        <v>202</v>
      </c>
      <c r="L90" s="4"/>
      <c r="M90" s="16" t="s">
        <v>202</v>
      </c>
      <c r="N90" s="4"/>
      <c r="O90" s="16" t="s">
        <v>202</v>
      </c>
      <c r="P90" s="4"/>
      <c r="Q90" s="16" t="s">
        <v>202</v>
      </c>
      <c r="R90" s="4"/>
      <c r="S90" s="16" t="s">
        <v>202</v>
      </c>
      <c r="T90" s="4"/>
      <c r="U90" s="16" t="s">
        <v>202</v>
      </c>
      <c r="V90" s="4"/>
      <c r="W90" s="16" t="s">
        <v>202</v>
      </c>
      <c r="X90" s="4"/>
      <c r="Y90" s="16" t="s">
        <v>202</v>
      </c>
      <c r="Z90" s="4"/>
      <c r="AA90" s="4"/>
      <c r="AB90" s="42">
        <f t="shared" si="2"/>
        <v>0</v>
      </c>
    </row>
    <row r="91" spans="1:28" ht="16.5" thickBot="1">
      <c r="A91" s="1" t="s">
        <v>182</v>
      </c>
      <c r="B91" s="36" t="s">
        <v>161</v>
      </c>
      <c r="C91" s="16" t="s">
        <v>202</v>
      </c>
      <c r="D91" s="4"/>
      <c r="E91" s="16" t="s">
        <v>202</v>
      </c>
      <c r="F91" s="4"/>
      <c r="G91" s="16" t="s">
        <v>202</v>
      </c>
      <c r="H91" s="4"/>
      <c r="I91" s="16" t="s">
        <v>202</v>
      </c>
      <c r="J91" s="4"/>
      <c r="K91" s="16">
        <v>511.65</v>
      </c>
      <c r="L91" s="4"/>
      <c r="M91" s="16">
        <v>971.04</v>
      </c>
      <c r="N91" s="4"/>
      <c r="O91" s="16" t="s">
        <v>202</v>
      </c>
      <c r="P91" s="4"/>
      <c r="Q91" s="16">
        <v>174.6</v>
      </c>
      <c r="R91" s="4"/>
      <c r="S91" s="16">
        <v>1625.41</v>
      </c>
      <c r="T91" s="72">
        <v>-481.65</v>
      </c>
      <c r="U91" s="16">
        <v>1832.18</v>
      </c>
      <c r="V91" s="4"/>
      <c r="W91" s="16">
        <v>2.65</v>
      </c>
      <c r="X91" s="4"/>
      <c r="Y91" s="16">
        <v>2.58</v>
      </c>
      <c r="Z91" s="4"/>
      <c r="AA91" s="4"/>
      <c r="AB91" s="42">
        <f t="shared" si="2"/>
        <v>4638.4599999999991</v>
      </c>
    </row>
    <row r="92" spans="1:28" ht="16.5" thickBot="1">
      <c r="A92" s="1" t="s">
        <v>75</v>
      </c>
      <c r="B92" s="36" t="s">
        <v>162</v>
      </c>
      <c r="C92" s="16">
        <v>7.05</v>
      </c>
      <c r="D92" s="4"/>
      <c r="E92" s="16">
        <v>2.2999999999999998</v>
      </c>
      <c r="F92" s="4"/>
      <c r="G92" s="16">
        <v>1.9</v>
      </c>
      <c r="H92" s="4"/>
      <c r="I92" s="16">
        <v>91.48</v>
      </c>
      <c r="J92" s="4"/>
      <c r="K92" s="16">
        <v>282.58999999999997</v>
      </c>
      <c r="L92" s="4"/>
      <c r="M92" s="16">
        <v>136.38</v>
      </c>
      <c r="N92" s="4"/>
      <c r="O92" s="16">
        <v>278.68</v>
      </c>
      <c r="P92" s="4"/>
      <c r="Q92" s="16">
        <v>419.54</v>
      </c>
      <c r="R92" s="4"/>
      <c r="S92" s="16">
        <v>220</v>
      </c>
      <c r="T92" s="16">
        <v>-1280.8499999999999</v>
      </c>
      <c r="U92" s="16">
        <v>40.18</v>
      </c>
      <c r="V92" s="4"/>
      <c r="W92" s="16">
        <v>9.76</v>
      </c>
      <c r="X92" s="4"/>
      <c r="Y92" s="16">
        <v>2.39</v>
      </c>
      <c r="Z92" s="4"/>
      <c r="AA92" s="4"/>
      <c r="AB92" s="42">
        <f t="shared" si="2"/>
        <v>211.40000000000015</v>
      </c>
    </row>
    <row r="93" spans="1:28" ht="16.5" thickBot="1">
      <c r="A93" s="1" t="s">
        <v>76</v>
      </c>
      <c r="B93" s="36" t="s">
        <v>203</v>
      </c>
      <c r="C93" s="16" t="s">
        <v>202</v>
      </c>
      <c r="D93" s="4"/>
      <c r="E93" s="16" t="s">
        <v>202</v>
      </c>
      <c r="F93" s="4"/>
      <c r="G93" s="16" t="s">
        <v>202</v>
      </c>
      <c r="H93" s="4"/>
      <c r="I93" s="16">
        <v>2.33</v>
      </c>
      <c r="J93" s="4"/>
      <c r="K93" s="16">
        <v>925.24</v>
      </c>
      <c r="L93" s="4"/>
      <c r="M93" s="16">
        <v>812.74</v>
      </c>
      <c r="N93" s="16">
        <v>-1580.87</v>
      </c>
      <c r="O93" s="16">
        <v>501.51</v>
      </c>
      <c r="P93" s="4"/>
      <c r="Q93" s="16">
        <v>696.9</v>
      </c>
      <c r="R93" s="4"/>
      <c r="S93" s="16">
        <v>1905.88</v>
      </c>
      <c r="T93" s="16">
        <v>-2011.15</v>
      </c>
      <c r="U93" s="16">
        <v>1896.83</v>
      </c>
      <c r="V93" s="4"/>
      <c r="W93" s="16">
        <v>0.62</v>
      </c>
      <c r="X93" s="4"/>
      <c r="Y93" s="16">
        <v>21.25</v>
      </c>
      <c r="Z93" s="4"/>
      <c r="AA93" s="4"/>
      <c r="AB93" s="42">
        <f t="shared" si="2"/>
        <v>3171.2799999999997</v>
      </c>
    </row>
    <row r="94" spans="1:28" ht="16.5" thickBot="1">
      <c r="A94" s="1" t="s">
        <v>77</v>
      </c>
      <c r="B94" s="36" t="s">
        <v>163</v>
      </c>
      <c r="C94" s="16" t="s">
        <v>202</v>
      </c>
      <c r="D94" s="4"/>
      <c r="E94" s="16" t="s">
        <v>202</v>
      </c>
      <c r="F94" s="4"/>
      <c r="G94" s="16" t="s">
        <v>202</v>
      </c>
      <c r="H94" s="4"/>
      <c r="I94" s="16" t="s">
        <v>202</v>
      </c>
      <c r="J94" s="4"/>
      <c r="K94" s="16">
        <v>0.62</v>
      </c>
      <c r="L94" s="4"/>
      <c r="M94" s="16">
        <v>8.94</v>
      </c>
      <c r="N94" s="4"/>
      <c r="O94" s="16">
        <v>17.899999999999999</v>
      </c>
      <c r="P94" s="4"/>
      <c r="Q94" s="16" t="s">
        <v>202</v>
      </c>
      <c r="R94" s="4"/>
      <c r="S94" s="16">
        <v>3.08</v>
      </c>
      <c r="T94" s="4"/>
      <c r="U94" s="16">
        <v>2.79</v>
      </c>
      <c r="V94" s="16">
        <v>-31.55</v>
      </c>
      <c r="W94" s="16" t="s">
        <v>202</v>
      </c>
      <c r="X94" s="4"/>
      <c r="Y94" s="16" t="s">
        <v>202</v>
      </c>
      <c r="Z94" s="4"/>
      <c r="AA94" s="4"/>
      <c r="AB94" s="42">
        <f t="shared" si="2"/>
        <v>1.7799999999999976</v>
      </c>
    </row>
    <row r="95" spans="1:28" ht="16.5" thickBot="1">
      <c r="A95" s="1" t="s">
        <v>78</v>
      </c>
      <c r="B95" s="36" t="s">
        <v>164</v>
      </c>
      <c r="C95" s="16" t="s">
        <v>202</v>
      </c>
      <c r="D95" s="4"/>
      <c r="E95" s="16" t="s">
        <v>202</v>
      </c>
      <c r="F95" s="4"/>
      <c r="G95" s="16" t="s">
        <v>202</v>
      </c>
      <c r="H95" s="4"/>
      <c r="I95" s="16" t="s">
        <v>202</v>
      </c>
      <c r="J95" s="4"/>
      <c r="K95" s="16">
        <v>167.27</v>
      </c>
      <c r="L95" s="4"/>
      <c r="M95" s="16">
        <v>229.17</v>
      </c>
      <c r="N95" s="4"/>
      <c r="O95" s="16">
        <v>70.98</v>
      </c>
      <c r="P95" s="16">
        <v>-1195.53</v>
      </c>
      <c r="Q95" s="16">
        <v>106.63</v>
      </c>
      <c r="R95" s="4"/>
      <c r="S95" s="16">
        <v>84.73</v>
      </c>
      <c r="T95" s="4"/>
      <c r="U95" s="16">
        <v>54.4</v>
      </c>
      <c r="V95" s="4"/>
      <c r="W95" s="16" t="s">
        <v>202</v>
      </c>
      <c r="X95" s="4"/>
      <c r="Y95" s="16" t="s">
        <v>202</v>
      </c>
      <c r="Z95" s="4"/>
      <c r="AA95" s="4"/>
      <c r="AB95" s="42">
        <f t="shared" si="2"/>
        <v>-482.34999999999991</v>
      </c>
    </row>
    <row r="96" spans="1:28" ht="16.5" thickBot="1">
      <c r="A96" s="1" t="s">
        <v>79</v>
      </c>
      <c r="B96" s="36" t="s">
        <v>99</v>
      </c>
      <c r="C96" s="16">
        <v>3.07</v>
      </c>
      <c r="D96" s="4"/>
      <c r="E96" s="16">
        <v>2.95</v>
      </c>
      <c r="F96" s="4"/>
      <c r="G96" s="16">
        <v>2.86</v>
      </c>
      <c r="H96" s="4"/>
      <c r="I96" s="16">
        <v>3.04</v>
      </c>
      <c r="J96" s="4"/>
      <c r="K96" s="16">
        <v>5.41</v>
      </c>
      <c r="L96" s="4"/>
      <c r="M96" s="16">
        <v>102.07</v>
      </c>
      <c r="N96" s="4"/>
      <c r="O96" s="16">
        <v>566.83000000000004</v>
      </c>
      <c r="P96" s="4"/>
      <c r="Q96" s="16">
        <v>850.28</v>
      </c>
      <c r="R96" s="4"/>
      <c r="S96" s="16">
        <v>1014.13</v>
      </c>
      <c r="T96" s="4"/>
      <c r="U96" s="16">
        <v>1313.68</v>
      </c>
      <c r="V96" s="16">
        <v>-11027.92</v>
      </c>
      <c r="W96" s="16">
        <v>3.24</v>
      </c>
      <c r="X96" s="4"/>
      <c r="Y96" s="16">
        <v>3.11</v>
      </c>
      <c r="Z96" s="4"/>
      <c r="AA96" s="4"/>
      <c r="AB96" s="42">
        <f t="shared" si="2"/>
        <v>-7157.2500000000009</v>
      </c>
    </row>
    <row r="97" spans="1:28" ht="16.5" thickBot="1">
      <c r="A97" s="1" t="s">
        <v>80</v>
      </c>
      <c r="B97" s="36" t="s">
        <v>165</v>
      </c>
      <c r="C97" s="16">
        <v>3.38</v>
      </c>
      <c r="D97" s="4"/>
      <c r="E97" s="16" t="s">
        <v>202</v>
      </c>
      <c r="F97" s="4"/>
      <c r="G97" s="16" t="s">
        <v>202</v>
      </c>
      <c r="H97" s="4"/>
      <c r="I97" s="16">
        <v>4.7300000000000004</v>
      </c>
      <c r="J97" s="4"/>
      <c r="K97" s="16">
        <v>81.48</v>
      </c>
      <c r="L97" s="4"/>
      <c r="M97" s="16">
        <v>351.82</v>
      </c>
      <c r="N97" s="16">
        <v>-700</v>
      </c>
      <c r="O97" s="16">
        <v>178.66</v>
      </c>
      <c r="P97" s="4"/>
      <c r="Q97" s="16">
        <v>91.45</v>
      </c>
      <c r="R97" s="4"/>
      <c r="S97" s="16">
        <v>141.01</v>
      </c>
      <c r="T97" s="16">
        <v>-613.45000000000005</v>
      </c>
      <c r="U97" s="16">
        <v>218.81</v>
      </c>
      <c r="V97" s="4"/>
      <c r="W97" s="16">
        <v>163.53</v>
      </c>
      <c r="X97" s="16">
        <v>-359.82</v>
      </c>
      <c r="Y97" s="16">
        <v>57.27</v>
      </c>
      <c r="Z97" s="4"/>
      <c r="AA97" s="4"/>
      <c r="AB97" s="42">
        <f t="shared" si="2"/>
        <v>-381.13000000000011</v>
      </c>
    </row>
    <row r="98" spans="1:28" ht="16.5" thickBot="1">
      <c r="A98" s="48" t="s">
        <v>81</v>
      </c>
      <c r="B98" s="47" t="s">
        <v>166</v>
      </c>
      <c r="C98" s="46">
        <v>33.33</v>
      </c>
      <c r="D98" s="45"/>
      <c r="E98" s="46">
        <v>31.74</v>
      </c>
      <c r="F98" s="45"/>
      <c r="G98" s="46">
        <v>22.84</v>
      </c>
      <c r="H98" s="45"/>
      <c r="I98" s="46">
        <v>75.510000000000005</v>
      </c>
      <c r="J98" s="45"/>
      <c r="K98" s="46">
        <v>448.33</v>
      </c>
      <c r="L98" s="45"/>
      <c r="M98" s="46">
        <v>612.79999999999995</v>
      </c>
      <c r="N98" s="46">
        <v>-3000</v>
      </c>
      <c r="O98" s="46">
        <v>471.49</v>
      </c>
      <c r="P98" s="45"/>
      <c r="Q98" s="46">
        <v>652.44000000000005</v>
      </c>
      <c r="R98" s="45"/>
      <c r="S98" s="46">
        <v>601.71</v>
      </c>
      <c r="T98" s="46">
        <f>-471.49-612.8-652.44</f>
        <v>-1736.73</v>
      </c>
      <c r="U98" s="46">
        <v>250.56</v>
      </c>
      <c r="V98" s="45"/>
      <c r="W98" s="46">
        <v>642.64</v>
      </c>
      <c r="X98" s="45"/>
      <c r="Y98" s="46">
        <v>74.510000000000005</v>
      </c>
      <c r="Z98" s="45"/>
      <c r="AA98" s="45"/>
      <c r="AB98" s="42">
        <f t="shared" si="2"/>
        <v>-818.83</v>
      </c>
    </row>
    <row r="99" spans="1:28" ht="16.5" thickBot="1">
      <c r="A99" s="1" t="s">
        <v>82</v>
      </c>
      <c r="B99" s="36" t="s">
        <v>209</v>
      </c>
      <c r="C99" s="16">
        <v>2.57</v>
      </c>
      <c r="D99" s="4"/>
      <c r="E99" s="16">
        <v>2.46</v>
      </c>
      <c r="F99" s="4"/>
      <c r="G99" s="16">
        <v>2.09</v>
      </c>
      <c r="H99" s="4"/>
      <c r="I99" s="16">
        <v>6.12</v>
      </c>
      <c r="J99" s="4"/>
      <c r="K99" s="16">
        <v>428.13</v>
      </c>
      <c r="L99" s="4"/>
      <c r="M99" s="16">
        <v>641.47</v>
      </c>
      <c r="N99" s="16">
        <v>-674.65</v>
      </c>
      <c r="O99" s="16">
        <v>507.54</v>
      </c>
      <c r="P99" s="4"/>
      <c r="Q99" s="16">
        <v>741.09</v>
      </c>
      <c r="R99" s="16">
        <v>-1149.01</v>
      </c>
      <c r="S99" s="16">
        <v>521.33000000000004</v>
      </c>
      <c r="T99" s="16">
        <v>-741.09</v>
      </c>
      <c r="U99" s="16">
        <v>121.88</v>
      </c>
      <c r="V99" s="4"/>
      <c r="W99" s="16">
        <v>3.78</v>
      </c>
      <c r="X99" s="4"/>
      <c r="Y99" s="16">
        <v>2.65</v>
      </c>
      <c r="Z99" s="4"/>
      <c r="AA99" s="4"/>
      <c r="AB99" s="42">
        <f t="shared" si="2"/>
        <v>416.36000000000024</v>
      </c>
    </row>
    <row r="100" spans="1:28" ht="15.75">
      <c r="A100" s="1" t="s">
        <v>83</v>
      </c>
      <c r="B100" s="36" t="s">
        <v>168</v>
      </c>
      <c r="C100" s="16"/>
      <c r="D100" s="4"/>
      <c r="E100" s="16"/>
      <c r="F100" s="4"/>
      <c r="G100" s="16"/>
      <c r="H100" s="4"/>
      <c r="I100" s="16"/>
      <c r="J100" s="4"/>
      <c r="K100" s="16"/>
      <c r="L100" s="4"/>
      <c r="M100" s="16"/>
      <c r="N100" s="4"/>
      <c r="O100" s="16"/>
      <c r="P100" s="4"/>
      <c r="Q100" s="16"/>
      <c r="R100" s="4"/>
      <c r="S100" s="16"/>
      <c r="T100" s="4"/>
      <c r="U100" s="16"/>
      <c r="V100" s="4"/>
      <c r="W100" s="16"/>
      <c r="X100" s="4"/>
      <c r="Y100" s="16"/>
      <c r="Z100" s="4"/>
      <c r="AA100" s="4"/>
      <c r="AB100" s="42">
        <f t="shared" si="2"/>
        <v>0</v>
      </c>
    </row>
    <row r="101" spans="1:28">
      <c r="C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8">
      <c r="C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8">
      <c r="C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8">
      <c r="C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8">
      <c r="C105"/>
      <c r="E105"/>
      <c r="F105"/>
      <c r="G105"/>
      <c r="H105"/>
    </row>
    <row r="106" spans="1:28">
      <c r="C106"/>
      <c r="E106"/>
      <c r="F106"/>
      <c r="G106"/>
      <c r="H106"/>
    </row>
    <row r="107" spans="1:28">
      <c r="C107"/>
      <c r="E107"/>
      <c r="F107"/>
      <c r="G107"/>
      <c r="H107"/>
    </row>
    <row r="108" spans="1:28">
      <c r="C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8">
      <c r="C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8">
      <c r="C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9:J110"/>
  <sheetViews>
    <sheetView workbookViewId="0">
      <pane xSplit="2" ySplit="10" topLeftCell="C26" activePane="bottomRight" state="frozen"/>
      <selection pane="topRight" activeCell="C1" sqref="C1"/>
      <selection pane="bottomLeft" activeCell="A11" sqref="A11"/>
      <selection pane="bottomRight" activeCell="L17" sqref="L17"/>
    </sheetView>
  </sheetViews>
  <sheetFormatPr defaultRowHeight="15"/>
  <cols>
    <col min="1" max="1" width="10.28515625" bestFit="1" customWidth="1"/>
    <col min="2" max="2" width="15.5703125" bestFit="1" customWidth="1"/>
    <col min="3" max="3" width="17.28515625" style="2" bestFit="1" customWidth="1"/>
    <col min="4" max="4" width="19.85546875" style="2" customWidth="1"/>
    <col min="5" max="5" width="17.28515625" style="2" bestFit="1" customWidth="1"/>
    <col min="6" max="6" width="19.85546875" style="2" customWidth="1"/>
    <col min="7" max="7" width="17.28515625" bestFit="1" customWidth="1"/>
    <col min="8" max="9" width="17.85546875" customWidth="1"/>
    <col min="10" max="10" width="15.7109375" customWidth="1"/>
  </cols>
  <sheetData>
    <row r="9" spans="1:10" ht="15.75" thickBot="1">
      <c r="C9"/>
      <c r="D9"/>
      <c r="E9"/>
      <c r="F9"/>
    </row>
    <row r="10" spans="1:10" ht="26.25" customHeight="1" thickBot="1">
      <c r="A10" s="98" t="s">
        <v>0</v>
      </c>
      <c r="B10" s="5" t="s">
        <v>96</v>
      </c>
      <c r="C10" s="10">
        <v>40817</v>
      </c>
      <c r="D10" s="77"/>
      <c r="E10" s="10">
        <v>40848</v>
      </c>
      <c r="F10" s="10"/>
      <c r="G10" s="10">
        <v>40878</v>
      </c>
      <c r="H10" s="10"/>
      <c r="I10" s="10"/>
      <c r="J10" s="52" t="s">
        <v>84</v>
      </c>
    </row>
    <row r="11" spans="1:10" ht="16.5" thickBot="1">
      <c r="A11" s="1" t="s">
        <v>1</v>
      </c>
      <c r="B11" s="35" t="s">
        <v>97</v>
      </c>
      <c r="C11" s="69">
        <v>2999.13</v>
      </c>
      <c r="D11" s="15">
        <v>-2999.13</v>
      </c>
      <c r="E11" s="15">
        <v>1060.69</v>
      </c>
      <c r="F11" s="6"/>
      <c r="G11" s="15">
        <v>724.48</v>
      </c>
      <c r="H11" s="15">
        <v>-1624.37</v>
      </c>
      <c r="I11" s="6"/>
      <c r="J11" s="42">
        <f t="shared" ref="J11:J42" si="0">SUM(C11:I11)</f>
        <v>160.80000000000018</v>
      </c>
    </row>
    <row r="12" spans="1:10" ht="16.5" thickBot="1">
      <c r="A12" s="1" t="s">
        <v>2</v>
      </c>
      <c r="B12" s="36" t="s">
        <v>98</v>
      </c>
      <c r="C12" s="16">
        <v>416.82</v>
      </c>
      <c r="D12" s="7"/>
      <c r="E12" s="16">
        <v>31.04</v>
      </c>
      <c r="F12" s="7"/>
      <c r="G12" s="16">
        <v>17.22</v>
      </c>
      <c r="H12" s="7"/>
      <c r="I12" s="7"/>
      <c r="J12" s="42">
        <f t="shared" si="0"/>
        <v>465.08000000000004</v>
      </c>
    </row>
    <row r="13" spans="1:10" ht="16.5" thickBot="1">
      <c r="A13" s="1" t="s">
        <v>3</v>
      </c>
      <c r="B13" s="36" t="s">
        <v>99</v>
      </c>
      <c r="C13" s="16">
        <v>143.12</v>
      </c>
      <c r="D13" s="7"/>
      <c r="E13" s="16">
        <v>2.0699999999999998</v>
      </c>
      <c r="F13" s="7"/>
      <c r="G13" s="16">
        <v>1.96</v>
      </c>
      <c r="H13" s="7"/>
      <c r="I13" s="7"/>
      <c r="J13" s="42">
        <f t="shared" si="0"/>
        <v>147.15</v>
      </c>
    </row>
    <row r="14" spans="1:10" ht="16.5" thickBot="1">
      <c r="A14" s="48" t="s">
        <v>4</v>
      </c>
      <c r="B14" s="47" t="s">
        <v>100</v>
      </c>
      <c r="C14" s="46">
        <v>1472</v>
      </c>
      <c r="D14" s="44"/>
      <c r="E14" s="46">
        <v>1261.6400000000001</v>
      </c>
      <c r="F14" s="44"/>
      <c r="G14" s="46">
        <v>168.51</v>
      </c>
      <c r="H14" s="44"/>
      <c r="I14" s="44"/>
      <c r="J14" s="42">
        <f t="shared" si="0"/>
        <v>2902.1500000000005</v>
      </c>
    </row>
    <row r="15" spans="1:10" ht="16.5" thickBot="1">
      <c r="A15" s="48" t="s">
        <v>5</v>
      </c>
      <c r="B15" s="47" t="s">
        <v>207</v>
      </c>
      <c r="C15" s="46">
        <v>11.72</v>
      </c>
      <c r="D15" s="44"/>
      <c r="E15" s="46">
        <v>20.9</v>
      </c>
      <c r="F15" s="44"/>
      <c r="G15" s="46">
        <v>3.81</v>
      </c>
      <c r="H15" s="44"/>
      <c r="I15" s="44"/>
      <c r="J15" s="42">
        <f t="shared" si="0"/>
        <v>36.43</v>
      </c>
    </row>
    <row r="16" spans="1:10" ht="16.5" thickBot="1">
      <c r="A16" s="1" t="s">
        <v>6</v>
      </c>
      <c r="B16" s="36" t="s">
        <v>101</v>
      </c>
      <c r="C16" s="16">
        <v>140.69999999999999</v>
      </c>
      <c r="D16" s="7"/>
      <c r="E16" s="16">
        <v>12.99</v>
      </c>
      <c r="F16" s="7"/>
      <c r="G16" s="16">
        <v>0</v>
      </c>
      <c r="H16" s="7"/>
      <c r="I16" s="7"/>
      <c r="J16" s="42">
        <f t="shared" si="0"/>
        <v>153.69</v>
      </c>
    </row>
    <row r="17" spans="1:10" ht="16.5" thickBot="1">
      <c r="A17" s="1" t="s">
        <v>7</v>
      </c>
      <c r="B17" s="36" t="s">
        <v>102</v>
      </c>
      <c r="C17" s="16">
        <v>384.63</v>
      </c>
      <c r="D17" s="7"/>
      <c r="E17" s="16">
        <v>1123.3800000000001</v>
      </c>
      <c r="F17" s="7"/>
      <c r="G17" s="16">
        <v>14.17</v>
      </c>
      <c r="H17" s="7"/>
      <c r="I17" s="7"/>
      <c r="J17" s="42">
        <f t="shared" si="0"/>
        <v>1522.1800000000003</v>
      </c>
    </row>
    <row r="18" spans="1:10" ht="16.5" thickBot="1">
      <c r="A18" s="1" t="s">
        <v>8</v>
      </c>
      <c r="B18" s="36" t="s">
        <v>103</v>
      </c>
      <c r="C18" s="16">
        <v>65.680000000000007</v>
      </c>
      <c r="D18" s="7"/>
      <c r="E18" s="16">
        <v>6.74</v>
      </c>
      <c r="F18" s="7"/>
      <c r="G18" s="16">
        <v>2.73</v>
      </c>
      <c r="H18" s="7"/>
      <c r="I18" s="7"/>
      <c r="J18" s="42">
        <f t="shared" si="0"/>
        <v>75.150000000000006</v>
      </c>
    </row>
    <row r="19" spans="1:10" ht="16.5" thickBot="1">
      <c r="A19" s="1" t="s">
        <v>9</v>
      </c>
      <c r="B19" s="36" t="s">
        <v>104</v>
      </c>
      <c r="C19" s="16">
        <v>14.31</v>
      </c>
      <c r="D19" s="7"/>
      <c r="E19" s="16">
        <v>7.29</v>
      </c>
      <c r="F19" s="7"/>
      <c r="G19" s="16">
        <v>2.12</v>
      </c>
      <c r="H19" s="7"/>
      <c r="I19" s="7"/>
      <c r="J19" s="42">
        <f t="shared" si="0"/>
        <v>23.720000000000002</v>
      </c>
    </row>
    <row r="20" spans="1:10" ht="16.5" thickBot="1">
      <c r="A20" s="48" t="s">
        <v>10</v>
      </c>
      <c r="B20" s="47" t="s">
        <v>105</v>
      </c>
      <c r="C20" s="46">
        <v>96.6</v>
      </c>
      <c r="D20" s="44"/>
      <c r="E20" s="46">
        <v>3.74</v>
      </c>
      <c r="F20" s="44"/>
      <c r="G20" s="46">
        <v>2.5299999999999998</v>
      </c>
      <c r="H20" s="44"/>
      <c r="I20" s="44"/>
      <c r="J20" s="42">
        <f t="shared" si="0"/>
        <v>102.86999999999999</v>
      </c>
    </row>
    <row r="21" spans="1:10" ht="16.5" thickBot="1">
      <c r="A21" s="48" t="s">
        <v>11</v>
      </c>
      <c r="B21" s="47" t="s">
        <v>106</v>
      </c>
      <c r="C21" s="46">
        <v>114.31</v>
      </c>
      <c r="D21" s="44"/>
      <c r="E21" s="46">
        <v>1.87</v>
      </c>
      <c r="F21" s="44"/>
      <c r="G21" s="46">
        <v>3.87</v>
      </c>
      <c r="H21" s="44"/>
      <c r="I21" s="44"/>
      <c r="J21" s="42">
        <f t="shared" si="0"/>
        <v>120.05000000000001</v>
      </c>
    </row>
    <row r="22" spans="1:10" ht="16.5" thickBot="1">
      <c r="A22" s="1" t="s">
        <v>12</v>
      </c>
      <c r="B22" s="36" t="s">
        <v>107</v>
      </c>
      <c r="C22" s="16">
        <v>313.18</v>
      </c>
      <c r="D22" s="7"/>
      <c r="E22" s="16">
        <v>45.45</v>
      </c>
      <c r="F22" s="7"/>
      <c r="G22" s="16">
        <v>130.25</v>
      </c>
      <c r="H22" s="16">
        <v>-130.25</v>
      </c>
      <c r="I22" s="7"/>
      <c r="J22" s="42">
        <f t="shared" si="0"/>
        <v>358.63</v>
      </c>
    </row>
    <row r="23" spans="1:10" ht="16.5" thickBot="1">
      <c r="A23" s="1" t="s">
        <v>13</v>
      </c>
      <c r="B23" s="36" t="s">
        <v>108</v>
      </c>
      <c r="C23" s="16">
        <v>148.83000000000001</v>
      </c>
      <c r="D23" s="7"/>
      <c r="E23" s="16">
        <v>13.84</v>
      </c>
      <c r="F23" s="7"/>
      <c r="G23" s="16">
        <v>11.4</v>
      </c>
      <c r="H23" s="7"/>
      <c r="I23" s="7"/>
      <c r="J23" s="42">
        <f t="shared" si="0"/>
        <v>174.07000000000002</v>
      </c>
    </row>
    <row r="24" spans="1:10" ht="16.5" thickBot="1">
      <c r="A24" s="1" t="s">
        <v>14</v>
      </c>
      <c r="B24" s="36" t="s">
        <v>109</v>
      </c>
      <c r="C24" s="16">
        <v>1557.29</v>
      </c>
      <c r="D24" s="16">
        <v>-1557.3</v>
      </c>
      <c r="E24" s="16">
        <v>551.02</v>
      </c>
      <c r="F24" s="16">
        <v>-551.02</v>
      </c>
      <c r="G24" s="16">
        <v>260.69</v>
      </c>
      <c r="H24" s="16">
        <v>-260.69</v>
      </c>
      <c r="I24" s="7"/>
      <c r="J24" s="42">
        <f t="shared" si="0"/>
        <v>-9.9999999999909051E-3</v>
      </c>
    </row>
    <row r="25" spans="1:10" ht="16.5" thickBot="1">
      <c r="A25" s="48" t="s">
        <v>15</v>
      </c>
      <c r="B25" s="47" t="s">
        <v>110</v>
      </c>
      <c r="C25" s="46">
        <v>291.19</v>
      </c>
      <c r="D25" s="44"/>
      <c r="E25" s="46">
        <v>303.26</v>
      </c>
      <c r="F25" s="44"/>
      <c r="G25" s="46">
        <v>352.8</v>
      </c>
      <c r="H25" s="44"/>
      <c r="I25" s="44"/>
      <c r="J25" s="42">
        <f t="shared" si="0"/>
        <v>947.25</v>
      </c>
    </row>
    <row r="26" spans="1:10" ht="16.5" thickBot="1">
      <c r="A26" s="1" t="s">
        <v>16</v>
      </c>
      <c r="B26" s="36" t="s">
        <v>111</v>
      </c>
      <c r="C26" s="16">
        <v>2.96</v>
      </c>
      <c r="D26" s="7"/>
      <c r="E26" s="16">
        <v>3.12</v>
      </c>
      <c r="F26" s="7"/>
      <c r="G26" s="16">
        <v>3.07</v>
      </c>
      <c r="H26" s="7"/>
      <c r="I26" s="7"/>
      <c r="J26" s="42">
        <f t="shared" si="0"/>
        <v>9.15</v>
      </c>
    </row>
    <row r="27" spans="1:10" ht="16.5" thickBot="1">
      <c r="A27" s="1" t="s">
        <v>17</v>
      </c>
      <c r="B27" s="36" t="s">
        <v>112</v>
      </c>
      <c r="C27" s="16">
        <v>431.17</v>
      </c>
      <c r="D27" s="7"/>
      <c r="E27" s="16">
        <v>116.81</v>
      </c>
      <c r="F27" s="7"/>
      <c r="G27" s="16">
        <v>9.9700000000000006</v>
      </c>
      <c r="H27" s="7"/>
      <c r="I27" s="7"/>
      <c r="J27" s="42">
        <f t="shared" si="0"/>
        <v>557.95000000000005</v>
      </c>
    </row>
    <row r="28" spans="1:10" ht="16.5" thickBot="1">
      <c r="A28" s="1" t="s">
        <v>18</v>
      </c>
      <c r="B28" s="36" t="s">
        <v>113</v>
      </c>
      <c r="C28" s="16">
        <v>11.26</v>
      </c>
      <c r="D28" s="7"/>
      <c r="E28" s="16">
        <v>2.75</v>
      </c>
      <c r="F28" s="7"/>
      <c r="G28" s="16">
        <v>2.73</v>
      </c>
      <c r="H28" s="7"/>
      <c r="I28" s="7"/>
      <c r="J28" s="42">
        <f t="shared" si="0"/>
        <v>16.739999999999998</v>
      </c>
    </row>
    <row r="29" spans="1:10" ht="16.5" thickBot="1">
      <c r="A29" s="1" t="s">
        <v>19</v>
      </c>
      <c r="B29" s="36" t="s">
        <v>114</v>
      </c>
      <c r="C29" s="16">
        <v>250.82</v>
      </c>
      <c r="D29" s="7"/>
      <c r="E29" s="16">
        <v>0</v>
      </c>
      <c r="F29" s="7"/>
      <c r="G29" s="16">
        <v>0</v>
      </c>
      <c r="H29" s="7"/>
      <c r="I29" s="7"/>
      <c r="J29" s="42">
        <f t="shared" si="0"/>
        <v>250.82</v>
      </c>
    </row>
    <row r="30" spans="1:10" ht="16.5" thickBot="1">
      <c r="A30" s="48" t="s">
        <v>20</v>
      </c>
      <c r="B30" s="47" t="s">
        <v>206</v>
      </c>
      <c r="C30" s="46">
        <v>834.69</v>
      </c>
      <c r="D30" s="44"/>
      <c r="E30" s="46">
        <v>295.19</v>
      </c>
      <c r="F30" s="44"/>
      <c r="G30" s="46">
        <v>659.98</v>
      </c>
      <c r="H30" s="44"/>
      <c r="I30" s="44"/>
      <c r="J30" s="42">
        <f t="shared" si="0"/>
        <v>1789.8600000000001</v>
      </c>
    </row>
    <row r="31" spans="1:10" ht="16.5" thickBot="1">
      <c r="A31" s="1" t="s">
        <v>21</v>
      </c>
      <c r="B31" s="36" t="s">
        <v>115</v>
      </c>
      <c r="C31" s="16">
        <v>68.81</v>
      </c>
      <c r="D31" s="7"/>
      <c r="E31" s="16">
        <v>14.43</v>
      </c>
      <c r="F31" s="7"/>
      <c r="G31" s="16">
        <v>0</v>
      </c>
      <c r="H31" s="7"/>
      <c r="I31" s="7"/>
      <c r="J31" s="42">
        <f t="shared" si="0"/>
        <v>83.240000000000009</v>
      </c>
    </row>
    <row r="32" spans="1:10" ht="16.5" thickBot="1">
      <c r="A32" s="1" t="s">
        <v>22</v>
      </c>
      <c r="B32" s="36" t="s">
        <v>116</v>
      </c>
      <c r="C32" s="16">
        <v>6.3</v>
      </c>
      <c r="D32" s="7"/>
      <c r="E32" s="16">
        <v>4.3899999999999997</v>
      </c>
      <c r="F32" s="7"/>
      <c r="G32" s="16">
        <v>3.33</v>
      </c>
      <c r="H32" s="7"/>
      <c r="I32" s="7"/>
      <c r="J32" s="42">
        <f t="shared" si="0"/>
        <v>14.02</v>
      </c>
    </row>
    <row r="33" spans="1:10" ht="16.5" thickBot="1">
      <c r="A33" s="1" t="s">
        <v>23</v>
      </c>
      <c r="B33" s="36" t="s">
        <v>117</v>
      </c>
      <c r="C33" s="16">
        <v>62.51</v>
      </c>
      <c r="D33" s="7"/>
      <c r="E33" s="16">
        <v>397.89</v>
      </c>
      <c r="F33" s="7"/>
      <c r="G33" s="16">
        <v>2.82</v>
      </c>
      <c r="H33" s="7"/>
      <c r="I33" s="7"/>
      <c r="J33" s="42">
        <f t="shared" si="0"/>
        <v>463.21999999999997</v>
      </c>
    </row>
    <row r="34" spans="1:10" ht="16.5" thickBot="1">
      <c r="A34" s="1" t="s">
        <v>24</v>
      </c>
      <c r="B34" s="36" t="s">
        <v>118</v>
      </c>
      <c r="C34" s="16">
        <v>58.49</v>
      </c>
      <c r="D34" s="7"/>
      <c r="E34" s="16">
        <v>2.52</v>
      </c>
      <c r="F34" s="7"/>
      <c r="G34" s="16">
        <v>2.42</v>
      </c>
      <c r="H34" s="7"/>
      <c r="I34" s="7"/>
      <c r="J34" s="42">
        <f t="shared" si="0"/>
        <v>63.430000000000007</v>
      </c>
    </row>
    <row r="35" spans="1:10" ht="16.5" thickBot="1">
      <c r="A35" s="1" t="s">
        <v>25</v>
      </c>
      <c r="B35" s="36" t="s">
        <v>119</v>
      </c>
      <c r="C35" s="16">
        <v>0</v>
      </c>
      <c r="D35" s="7"/>
      <c r="E35" s="16">
        <v>0</v>
      </c>
      <c r="F35" s="7"/>
      <c r="G35" s="16">
        <v>0</v>
      </c>
      <c r="H35" s="7"/>
      <c r="I35" s="7"/>
      <c r="J35" s="42">
        <f t="shared" si="0"/>
        <v>0</v>
      </c>
    </row>
    <row r="36" spans="1:10" ht="16.5" thickBot="1">
      <c r="A36" s="1" t="s">
        <v>193</v>
      </c>
      <c r="B36" s="36" t="s">
        <v>192</v>
      </c>
      <c r="C36" s="16">
        <v>0</v>
      </c>
      <c r="D36" s="7"/>
      <c r="E36" s="16">
        <v>0</v>
      </c>
      <c r="F36" s="7"/>
      <c r="G36" s="16">
        <v>0</v>
      </c>
      <c r="H36" s="7"/>
      <c r="I36" s="7"/>
      <c r="J36" s="42">
        <f t="shared" si="0"/>
        <v>0</v>
      </c>
    </row>
    <row r="37" spans="1:10" ht="16.5" thickBot="1">
      <c r="A37" s="1" t="s">
        <v>26</v>
      </c>
      <c r="B37" s="36" t="s">
        <v>120</v>
      </c>
      <c r="C37" s="16">
        <v>9.09</v>
      </c>
      <c r="D37" s="7"/>
      <c r="E37" s="16">
        <v>2.73</v>
      </c>
      <c r="F37" s="7"/>
      <c r="G37" s="16">
        <v>2.59</v>
      </c>
      <c r="H37" s="7"/>
      <c r="I37" s="7"/>
      <c r="J37" s="42">
        <f t="shared" si="0"/>
        <v>14.41</v>
      </c>
    </row>
    <row r="38" spans="1:10" ht="16.5" thickBot="1">
      <c r="A38" s="1" t="s">
        <v>27</v>
      </c>
      <c r="B38" s="36" t="s">
        <v>121</v>
      </c>
      <c r="C38" s="16">
        <v>6.82</v>
      </c>
      <c r="D38" s="7"/>
      <c r="E38" s="16">
        <v>2.92</v>
      </c>
      <c r="F38" s="7"/>
      <c r="G38" s="16">
        <v>2.82</v>
      </c>
      <c r="H38" s="7"/>
      <c r="I38" s="7"/>
      <c r="J38" s="42">
        <f t="shared" si="0"/>
        <v>12.56</v>
      </c>
    </row>
    <row r="39" spans="1:10" ht="16.5" thickBot="1">
      <c r="A39" s="1" t="s">
        <v>28</v>
      </c>
      <c r="B39" s="36" t="s">
        <v>122</v>
      </c>
      <c r="C39" s="16">
        <v>7.33</v>
      </c>
      <c r="D39" s="7"/>
      <c r="E39" s="16">
        <v>7.81</v>
      </c>
      <c r="F39" s="7"/>
      <c r="G39" s="16">
        <v>7.5</v>
      </c>
      <c r="H39" s="7"/>
      <c r="I39" s="7"/>
      <c r="J39" s="42">
        <f t="shared" si="0"/>
        <v>22.64</v>
      </c>
    </row>
    <row r="40" spans="1:10" ht="16.5" thickBot="1">
      <c r="A40" s="1" t="s">
        <v>29</v>
      </c>
      <c r="B40" s="36" t="s">
        <v>123</v>
      </c>
      <c r="C40" s="16">
        <v>193.92</v>
      </c>
      <c r="D40" s="7"/>
      <c r="E40" s="16">
        <v>0</v>
      </c>
      <c r="F40" s="7"/>
      <c r="G40" s="16">
        <v>0</v>
      </c>
      <c r="H40" s="7"/>
      <c r="I40" s="7"/>
      <c r="J40" s="42">
        <f t="shared" si="0"/>
        <v>193.92</v>
      </c>
    </row>
    <row r="41" spans="1:10" ht="16.5" thickBot="1">
      <c r="A41" s="48" t="s">
        <v>30</v>
      </c>
      <c r="B41" s="47" t="s">
        <v>124</v>
      </c>
      <c r="C41" s="46">
        <v>11.2</v>
      </c>
      <c r="D41" s="44"/>
      <c r="E41" s="46">
        <v>2.92</v>
      </c>
      <c r="F41" s="44"/>
      <c r="G41" s="46">
        <v>2.78</v>
      </c>
      <c r="H41" s="44"/>
      <c r="I41" s="44"/>
      <c r="J41" s="42">
        <f t="shared" si="0"/>
        <v>16.899999999999999</v>
      </c>
    </row>
    <row r="42" spans="1:10" ht="16.5" thickBot="1">
      <c r="A42" s="1" t="s">
        <v>31</v>
      </c>
      <c r="B42" s="36" t="s">
        <v>125</v>
      </c>
      <c r="C42" s="16">
        <v>978.59</v>
      </c>
      <c r="D42" s="7"/>
      <c r="E42" s="16">
        <v>566.41999999999996</v>
      </c>
      <c r="F42" s="7"/>
      <c r="G42" s="16">
        <v>145.08000000000001</v>
      </c>
      <c r="H42" s="7"/>
      <c r="I42" s="7"/>
      <c r="J42" s="42">
        <f t="shared" si="0"/>
        <v>1690.09</v>
      </c>
    </row>
    <row r="43" spans="1:10" ht="16.5" thickBot="1">
      <c r="A43" s="1" t="s">
        <v>32</v>
      </c>
      <c r="B43" s="36" t="s">
        <v>126</v>
      </c>
      <c r="C43" s="16">
        <v>703.36</v>
      </c>
      <c r="D43" s="7"/>
      <c r="E43" s="16">
        <v>21.19</v>
      </c>
      <c r="F43" s="7"/>
      <c r="G43" s="16">
        <v>7.2</v>
      </c>
      <c r="H43" s="7"/>
      <c r="I43" s="7"/>
      <c r="J43" s="42">
        <f t="shared" ref="J43:J74" si="1">SUM(C43:I43)</f>
        <v>731.75000000000011</v>
      </c>
    </row>
    <row r="44" spans="1:10" ht="16.5" thickBot="1">
      <c r="A44" s="48" t="s">
        <v>33</v>
      </c>
      <c r="B44" s="47" t="s">
        <v>127</v>
      </c>
      <c r="C44" s="46">
        <v>1174.3900000000001</v>
      </c>
      <c r="D44" s="44"/>
      <c r="E44" s="46">
        <v>162.83000000000001</v>
      </c>
      <c r="F44" s="44"/>
      <c r="G44" s="46">
        <v>5.1100000000000003</v>
      </c>
      <c r="H44" s="44"/>
      <c r="I44" s="44"/>
      <c r="J44" s="42">
        <f t="shared" si="1"/>
        <v>1342.33</v>
      </c>
    </row>
    <row r="45" spans="1:10" ht="16.5" thickBot="1">
      <c r="A45" s="1" t="s">
        <v>34</v>
      </c>
      <c r="B45" s="36" t="s">
        <v>128</v>
      </c>
      <c r="C45" s="16">
        <v>700.84</v>
      </c>
      <c r="D45" s="7"/>
      <c r="E45" s="16">
        <v>2744.19</v>
      </c>
      <c r="F45" s="7"/>
      <c r="G45" s="16">
        <v>3457.86</v>
      </c>
      <c r="H45" s="7"/>
      <c r="I45" s="7"/>
      <c r="J45" s="42">
        <f t="shared" si="1"/>
        <v>6902.89</v>
      </c>
    </row>
    <row r="46" spans="1:10" ht="16.5" thickBot="1">
      <c r="A46" s="1" t="s">
        <v>191</v>
      </c>
      <c r="B46" s="36" t="s">
        <v>190</v>
      </c>
      <c r="C46" s="16">
        <v>162.04</v>
      </c>
      <c r="D46" s="7"/>
      <c r="E46" s="16">
        <v>3.07</v>
      </c>
      <c r="F46" s="7"/>
      <c r="G46" s="16">
        <v>28.5</v>
      </c>
      <c r="H46" s="7"/>
      <c r="I46" s="7"/>
      <c r="J46" s="42">
        <f t="shared" si="1"/>
        <v>193.60999999999999</v>
      </c>
    </row>
    <row r="47" spans="1:10" ht="16.5" thickBot="1">
      <c r="A47" s="1" t="s">
        <v>35</v>
      </c>
      <c r="B47" s="36" t="s">
        <v>171</v>
      </c>
      <c r="C47" s="16">
        <v>1.05</v>
      </c>
      <c r="D47" s="7"/>
      <c r="E47" s="16">
        <v>0</v>
      </c>
      <c r="F47" s="7"/>
      <c r="G47" s="16">
        <v>0</v>
      </c>
      <c r="H47" s="7"/>
      <c r="I47" s="7"/>
      <c r="J47" s="42">
        <f t="shared" si="1"/>
        <v>1.05</v>
      </c>
    </row>
    <row r="48" spans="1:10" ht="16.5" thickBot="1">
      <c r="A48" s="1" t="s">
        <v>36</v>
      </c>
      <c r="B48" s="36" t="s">
        <v>205</v>
      </c>
      <c r="C48" s="16">
        <v>539.51</v>
      </c>
      <c r="D48" s="7"/>
      <c r="E48" s="16">
        <v>42.79</v>
      </c>
      <c r="F48" s="7"/>
      <c r="G48" s="16">
        <v>2.57</v>
      </c>
      <c r="H48" s="7"/>
      <c r="I48" s="7"/>
      <c r="J48" s="42">
        <f t="shared" si="1"/>
        <v>584.87</v>
      </c>
    </row>
    <row r="49" spans="1:10" ht="16.5" thickBot="1">
      <c r="A49" s="1" t="s">
        <v>37</v>
      </c>
      <c r="B49" s="36" t="s">
        <v>129</v>
      </c>
      <c r="C49" s="16">
        <v>302.8</v>
      </c>
      <c r="D49" s="7"/>
      <c r="E49" s="16">
        <v>2.48</v>
      </c>
      <c r="F49" s="7"/>
      <c r="G49" s="16">
        <v>0</v>
      </c>
      <c r="H49" s="7"/>
      <c r="I49" s="7"/>
      <c r="J49" s="42">
        <f t="shared" si="1"/>
        <v>305.28000000000003</v>
      </c>
    </row>
    <row r="50" spans="1:10" ht="16.5" thickBot="1">
      <c r="A50" s="1" t="s">
        <v>38</v>
      </c>
      <c r="B50" s="36" t="s">
        <v>130</v>
      </c>
      <c r="C50" s="16">
        <v>0.3</v>
      </c>
      <c r="D50" s="7"/>
      <c r="E50" s="16">
        <v>0.27</v>
      </c>
      <c r="F50" s="7"/>
      <c r="G50" s="16">
        <v>0.18</v>
      </c>
      <c r="H50" s="7"/>
      <c r="I50" s="7"/>
      <c r="J50" s="42">
        <f t="shared" si="1"/>
        <v>0.75</v>
      </c>
    </row>
    <row r="51" spans="1:10" ht="16.5" thickBot="1">
      <c r="A51" s="1" t="s">
        <v>39</v>
      </c>
      <c r="B51" s="36" t="s">
        <v>131</v>
      </c>
      <c r="C51" s="16">
        <v>2.5099999999999998</v>
      </c>
      <c r="D51" s="7"/>
      <c r="E51" s="16">
        <v>2.56</v>
      </c>
      <c r="F51" s="7"/>
      <c r="G51" s="16">
        <v>2.57</v>
      </c>
      <c r="H51" s="7"/>
      <c r="I51" s="7"/>
      <c r="J51" s="42">
        <f t="shared" si="1"/>
        <v>7.6400000000000006</v>
      </c>
    </row>
    <row r="52" spans="1:10" ht="16.5" thickBot="1">
      <c r="A52" s="1" t="s">
        <v>40</v>
      </c>
      <c r="B52" s="36" t="s">
        <v>132</v>
      </c>
      <c r="C52" s="16">
        <v>3.87</v>
      </c>
      <c r="D52" s="7"/>
      <c r="E52" s="16">
        <v>3.12</v>
      </c>
      <c r="F52" s="7"/>
      <c r="G52" s="16">
        <v>2.95</v>
      </c>
      <c r="H52" s="7"/>
      <c r="I52" s="7"/>
      <c r="J52" s="42">
        <f t="shared" si="1"/>
        <v>9.9400000000000013</v>
      </c>
    </row>
    <row r="53" spans="1:10" ht="16.5" thickBot="1">
      <c r="A53" s="1" t="s">
        <v>41</v>
      </c>
      <c r="B53" s="36" t="s">
        <v>133</v>
      </c>
      <c r="C53" s="16">
        <v>1791.47</v>
      </c>
      <c r="D53" s="7"/>
      <c r="E53" s="16">
        <v>6.48</v>
      </c>
      <c r="F53" s="7"/>
      <c r="G53" s="16">
        <v>2.73</v>
      </c>
      <c r="H53" s="7"/>
      <c r="I53" s="7"/>
      <c r="J53" s="42">
        <f t="shared" si="1"/>
        <v>1800.68</v>
      </c>
    </row>
    <row r="54" spans="1:10" ht="16.5" thickBot="1">
      <c r="A54" s="1" t="s">
        <v>42</v>
      </c>
      <c r="B54" s="36" t="s">
        <v>134</v>
      </c>
      <c r="C54" s="16">
        <v>671.02</v>
      </c>
      <c r="D54" s="7"/>
      <c r="E54" s="16">
        <v>2.99</v>
      </c>
      <c r="F54" s="7"/>
      <c r="G54" s="16">
        <v>2.98</v>
      </c>
      <c r="H54" s="7"/>
      <c r="I54" s="7"/>
      <c r="J54" s="42">
        <f t="shared" si="1"/>
        <v>676.99</v>
      </c>
    </row>
    <row r="55" spans="1:10" ht="16.5" thickBot="1">
      <c r="A55" s="1" t="s">
        <v>43</v>
      </c>
      <c r="B55" s="36" t="s">
        <v>135</v>
      </c>
      <c r="C55" s="16">
        <v>0.88</v>
      </c>
      <c r="D55" s="7"/>
      <c r="E55" s="16">
        <v>0.45</v>
      </c>
      <c r="F55" s="7"/>
      <c r="G55" s="16">
        <v>0.62</v>
      </c>
      <c r="H55" s="7"/>
      <c r="I55" s="7"/>
      <c r="J55" s="42">
        <f t="shared" si="1"/>
        <v>1.9500000000000002</v>
      </c>
    </row>
    <row r="56" spans="1:10" ht="16.5" thickBot="1">
      <c r="A56" s="48" t="s">
        <v>44</v>
      </c>
      <c r="B56" s="47" t="s">
        <v>136</v>
      </c>
      <c r="C56" s="46">
        <v>66.61</v>
      </c>
      <c r="D56" s="44"/>
      <c r="E56" s="46">
        <v>3.31</v>
      </c>
      <c r="F56" s="44"/>
      <c r="G56" s="46">
        <v>2.17</v>
      </c>
      <c r="H56" s="44"/>
      <c r="I56" s="44"/>
      <c r="J56" s="42">
        <f t="shared" si="1"/>
        <v>72.09</v>
      </c>
    </row>
    <row r="57" spans="1:10" ht="16.5" thickBot="1">
      <c r="A57" s="1" t="s">
        <v>45</v>
      </c>
      <c r="B57" s="36" t="s">
        <v>137</v>
      </c>
      <c r="C57" s="16">
        <v>151.13999999999999</v>
      </c>
      <c r="D57" s="7"/>
      <c r="E57" s="16">
        <v>59.06</v>
      </c>
      <c r="F57" s="7"/>
      <c r="G57" s="16">
        <v>113.46</v>
      </c>
      <c r="H57" s="7"/>
      <c r="I57" s="7"/>
      <c r="J57" s="42">
        <f t="shared" si="1"/>
        <v>323.65999999999997</v>
      </c>
    </row>
    <row r="58" spans="1:10" ht="16.5" thickBot="1">
      <c r="A58" s="1" t="s">
        <v>46</v>
      </c>
      <c r="B58" s="36" t="s">
        <v>138</v>
      </c>
      <c r="C58" s="16">
        <v>0</v>
      </c>
      <c r="D58" s="7"/>
      <c r="E58" s="16">
        <v>0</v>
      </c>
      <c r="F58" s="7"/>
      <c r="G58" s="16">
        <v>0</v>
      </c>
      <c r="H58" s="7"/>
      <c r="I58" s="7"/>
      <c r="J58" s="42">
        <f t="shared" si="1"/>
        <v>0</v>
      </c>
    </row>
    <row r="59" spans="1:10" ht="16.5" thickBot="1">
      <c r="A59" s="1" t="s">
        <v>47</v>
      </c>
      <c r="B59" s="36" t="s">
        <v>139</v>
      </c>
      <c r="C59" s="16">
        <v>112.17</v>
      </c>
      <c r="D59" s="7"/>
      <c r="E59" s="16">
        <v>93.69</v>
      </c>
      <c r="F59" s="7"/>
      <c r="G59" s="16">
        <v>4.1900000000000004</v>
      </c>
      <c r="H59" s="7"/>
      <c r="I59" s="7"/>
      <c r="J59" s="42">
        <f t="shared" si="1"/>
        <v>210.05</v>
      </c>
    </row>
    <row r="60" spans="1:10" ht="16.5" thickBot="1">
      <c r="A60" s="1" t="s">
        <v>48</v>
      </c>
      <c r="B60" s="36" t="s">
        <v>140</v>
      </c>
      <c r="C60" s="16">
        <v>202.65</v>
      </c>
      <c r="D60" s="7"/>
      <c r="E60" s="16">
        <v>0</v>
      </c>
      <c r="F60" s="7"/>
      <c r="G60" s="16">
        <v>1.69</v>
      </c>
      <c r="H60" s="7"/>
      <c r="I60" s="7"/>
      <c r="J60" s="42">
        <f t="shared" si="1"/>
        <v>204.34</v>
      </c>
    </row>
    <row r="61" spans="1:10" ht="16.5" thickBot="1">
      <c r="A61" s="1" t="s">
        <v>49</v>
      </c>
      <c r="B61" s="36" t="s">
        <v>141</v>
      </c>
      <c r="C61" s="16">
        <v>0</v>
      </c>
      <c r="D61" s="7"/>
      <c r="E61" s="16">
        <v>0</v>
      </c>
      <c r="F61" s="7"/>
      <c r="G61" s="16">
        <v>0</v>
      </c>
      <c r="H61" s="7"/>
      <c r="I61" s="7"/>
      <c r="J61" s="42">
        <f t="shared" si="1"/>
        <v>0</v>
      </c>
    </row>
    <row r="62" spans="1:10" ht="16.5" thickBot="1">
      <c r="A62" s="1" t="s">
        <v>50</v>
      </c>
      <c r="B62" s="36" t="s">
        <v>142</v>
      </c>
      <c r="C62" s="16">
        <v>79.5</v>
      </c>
      <c r="D62" s="7"/>
      <c r="E62" s="16">
        <v>0</v>
      </c>
      <c r="F62" s="7"/>
      <c r="G62" s="16">
        <v>0</v>
      </c>
      <c r="H62" s="7"/>
      <c r="I62" s="7"/>
      <c r="J62" s="42">
        <f t="shared" si="1"/>
        <v>79.5</v>
      </c>
    </row>
    <row r="63" spans="1:10" ht="16.5" thickBot="1">
      <c r="A63" s="1" t="s">
        <v>51</v>
      </c>
      <c r="B63" s="36" t="s">
        <v>143</v>
      </c>
      <c r="C63" s="16">
        <v>3.71</v>
      </c>
      <c r="D63" s="7"/>
      <c r="E63" s="16">
        <v>3.37</v>
      </c>
      <c r="F63" s="7"/>
      <c r="G63" s="16">
        <v>3.11</v>
      </c>
      <c r="H63" s="7"/>
      <c r="I63" s="7"/>
      <c r="J63" s="42">
        <f t="shared" si="1"/>
        <v>10.19</v>
      </c>
    </row>
    <row r="64" spans="1:10" ht="16.5" thickBot="1">
      <c r="A64" s="48" t="s">
        <v>52</v>
      </c>
      <c r="B64" s="47" t="s">
        <v>144</v>
      </c>
      <c r="C64" s="46">
        <v>0.23</v>
      </c>
      <c r="D64" s="44"/>
      <c r="E64" s="46">
        <v>0</v>
      </c>
      <c r="F64" s="44"/>
      <c r="G64" s="46">
        <v>0</v>
      </c>
      <c r="H64" s="44"/>
      <c r="I64" s="44"/>
      <c r="J64" s="42">
        <f t="shared" si="1"/>
        <v>0.23</v>
      </c>
    </row>
    <row r="65" spans="1:10" ht="16.5" thickBot="1">
      <c r="A65" s="1" t="s">
        <v>53</v>
      </c>
      <c r="B65" s="36" t="s">
        <v>204</v>
      </c>
      <c r="C65" s="16">
        <v>0</v>
      </c>
      <c r="D65" s="7"/>
      <c r="E65" s="16">
        <v>0</v>
      </c>
      <c r="F65" s="7"/>
      <c r="G65" s="16">
        <v>0</v>
      </c>
      <c r="H65" s="7"/>
      <c r="I65" s="7"/>
      <c r="J65" s="42">
        <f t="shared" si="1"/>
        <v>0</v>
      </c>
    </row>
    <row r="66" spans="1:10" ht="16.5" thickBot="1">
      <c r="A66" s="1" t="s">
        <v>187</v>
      </c>
      <c r="B66" s="36" t="s">
        <v>145</v>
      </c>
      <c r="C66" s="16">
        <v>4.78</v>
      </c>
      <c r="D66" s="7"/>
      <c r="E66" s="16">
        <v>2.42</v>
      </c>
      <c r="F66" s="7"/>
      <c r="G66" s="16">
        <v>2.36</v>
      </c>
      <c r="H66" s="7"/>
      <c r="I66" s="7"/>
      <c r="J66" s="42">
        <f t="shared" si="1"/>
        <v>9.56</v>
      </c>
    </row>
    <row r="67" spans="1:10" ht="16.5" thickBot="1">
      <c r="A67" s="1" t="s">
        <v>54</v>
      </c>
      <c r="B67" s="36" t="s">
        <v>146</v>
      </c>
      <c r="C67" s="16">
        <v>24.18</v>
      </c>
      <c r="D67" s="7"/>
      <c r="E67" s="16">
        <v>2.98</v>
      </c>
      <c r="F67" s="7"/>
      <c r="G67" s="16">
        <v>2.73</v>
      </c>
      <c r="H67" s="7"/>
      <c r="I67" s="7"/>
      <c r="J67" s="42">
        <f t="shared" si="1"/>
        <v>29.89</v>
      </c>
    </row>
    <row r="68" spans="1:10" ht="16.5" thickBot="1">
      <c r="A68" s="1" t="s">
        <v>55</v>
      </c>
      <c r="B68" s="37" t="s">
        <v>147</v>
      </c>
      <c r="C68" s="16">
        <v>2.98</v>
      </c>
      <c r="D68" s="7"/>
      <c r="E68" s="16">
        <v>4.1500000000000004</v>
      </c>
      <c r="F68" s="7"/>
      <c r="G68" s="16">
        <v>0.69</v>
      </c>
      <c r="H68" s="7"/>
      <c r="I68" s="7"/>
      <c r="J68" s="42">
        <f t="shared" si="1"/>
        <v>7.82</v>
      </c>
    </row>
    <row r="69" spans="1:10" ht="16.5" thickBot="1">
      <c r="A69" s="1" t="s">
        <v>56</v>
      </c>
      <c r="B69" s="37" t="s">
        <v>148</v>
      </c>
      <c r="C69" s="16">
        <v>71.45</v>
      </c>
      <c r="D69" s="7"/>
      <c r="E69" s="16">
        <v>4.6900000000000004</v>
      </c>
      <c r="F69" s="7"/>
      <c r="G69" s="16">
        <v>0.74</v>
      </c>
      <c r="H69" s="7"/>
      <c r="I69" s="7"/>
      <c r="J69" s="42">
        <f t="shared" si="1"/>
        <v>76.88</v>
      </c>
    </row>
    <row r="70" spans="1:10" ht="16.5" thickBot="1">
      <c r="A70" s="1" t="s">
        <v>57</v>
      </c>
      <c r="B70" s="38" t="s">
        <v>149</v>
      </c>
      <c r="C70" s="16">
        <v>47.06</v>
      </c>
      <c r="D70" s="7"/>
      <c r="E70" s="16">
        <v>3.12</v>
      </c>
      <c r="F70" s="7"/>
      <c r="G70" s="16">
        <v>3.03</v>
      </c>
      <c r="H70" s="7"/>
      <c r="I70" s="7"/>
      <c r="J70" s="42">
        <f t="shared" si="1"/>
        <v>53.21</v>
      </c>
    </row>
    <row r="71" spans="1:10" ht="16.5" thickBot="1">
      <c r="A71" s="1" t="s">
        <v>58</v>
      </c>
      <c r="B71" s="38" t="s">
        <v>150</v>
      </c>
      <c r="C71" s="16">
        <v>4.58</v>
      </c>
      <c r="D71" s="7"/>
      <c r="E71" s="16">
        <v>2.61</v>
      </c>
      <c r="F71" s="7"/>
      <c r="G71" s="16">
        <v>2.46</v>
      </c>
      <c r="H71" s="7"/>
      <c r="I71" s="7"/>
      <c r="J71" s="42">
        <f t="shared" si="1"/>
        <v>9.6499999999999986</v>
      </c>
    </row>
    <row r="72" spans="1:10" ht="16.5" thickBot="1">
      <c r="A72" s="1" t="s">
        <v>59</v>
      </c>
      <c r="B72" s="36" t="s">
        <v>151</v>
      </c>
      <c r="C72" s="16">
        <v>30.17</v>
      </c>
      <c r="D72" s="7"/>
      <c r="E72" s="16">
        <v>4.1900000000000004</v>
      </c>
      <c r="F72" s="7"/>
      <c r="G72" s="16">
        <v>2.38</v>
      </c>
      <c r="H72" s="7"/>
      <c r="I72" s="7"/>
      <c r="J72" s="42">
        <f t="shared" si="1"/>
        <v>36.74</v>
      </c>
    </row>
    <row r="73" spans="1:10" ht="16.5" thickBot="1">
      <c r="A73" s="1" t="s">
        <v>60</v>
      </c>
      <c r="B73" s="36" t="s">
        <v>152</v>
      </c>
      <c r="C73" s="16">
        <v>63.03</v>
      </c>
      <c r="D73" s="7"/>
      <c r="E73" s="16">
        <v>8.49</v>
      </c>
      <c r="F73" s="7"/>
      <c r="G73" s="16">
        <v>3.2</v>
      </c>
      <c r="H73" s="7"/>
      <c r="I73" s="7"/>
      <c r="J73" s="42">
        <f t="shared" si="1"/>
        <v>74.72</v>
      </c>
    </row>
    <row r="74" spans="1:10" ht="16.5" thickBot="1">
      <c r="A74" s="1" t="s">
        <v>61</v>
      </c>
      <c r="B74" s="36" t="s">
        <v>153</v>
      </c>
      <c r="C74" s="16">
        <v>2.4900000000000002</v>
      </c>
      <c r="D74" s="7"/>
      <c r="E74" s="16">
        <v>0.79</v>
      </c>
      <c r="F74" s="7"/>
      <c r="G74" s="16">
        <v>0.68</v>
      </c>
      <c r="H74" s="7"/>
      <c r="I74" s="7"/>
      <c r="J74" s="42">
        <f t="shared" si="1"/>
        <v>3.9600000000000004</v>
      </c>
    </row>
    <row r="75" spans="1:10" ht="16.5" thickBot="1">
      <c r="A75" s="1" t="s">
        <v>62</v>
      </c>
      <c r="B75" s="36" t="s">
        <v>154</v>
      </c>
      <c r="C75" s="16">
        <v>332.12</v>
      </c>
      <c r="D75" s="7"/>
      <c r="E75" s="16">
        <v>0</v>
      </c>
      <c r="F75" s="7"/>
      <c r="G75" s="16">
        <v>0</v>
      </c>
      <c r="H75" s="7"/>
      <c r="I75" s="7"/>
      <c r="J75" s="42">
        <f t="shared" ref="J75:J100" si="2">SUM(C75:I75)</f>
        <v>332.12</v>
      </c>
    </row>
    <row r="76" spans="1:10" ht="16.5" thickBot="1">
      <c r="A76" s="48" t="s">
        <v>63</v>
      </c>
      <c r="B76" s="47" t="s">
        <v>173</v>
      </c>
      <c r="C76" s="46">
        <v>159.82</v>
      </c>
      <c r="D76" s="44"/>
      <c r="E76" s="46">
        <v>38.450000000000003</v>
      </c>
      <c r="F76" s="44"/>
      <c r="G76" s="46">
        <v>3.12</v>
      </c>
      <c r="H76" s="44"/>
      <c r="I76" s="44"/>
      <c r="J76" s="42">
        <f t="shared" si="2"/>
        <v>201.39</v>
      </c>
    </row>
    <row r="77" spans="1:10" ht="16.5" thickBot="1">
      <c r="A77" s="48" t="s">
        <v>186</v>
      </c>
      <c r="B77" s="47" t="s">
        <v>173</v>
      </c>
      <c r="C77" s="46">
        <v>1018.03</v>
      </c>
      <c r="D77" s="44"/>
      <c r="E77" s="46">
        <v>136.26</v>
      </c>
      <c r="F77" s="44"/>
      <c r="G77" s="46">
        <v>0.38</v>
      </c>
      <c r="H77" s="44"/>
      <c r="I77" s="44"/>
      <c r="J77" s="42">
        <f t="shared" si="2"/>
        <v>1154.67</v>
      </c>
    </row>
    <row r="78" spans="1:10" ht="16.5" thickBot="1">
      <c r="A78" s="74" t="s">
        <v>64</v>
      </c>
      <c r="B78" s="73" t="s">
        <v>174</v>
      </c>
      <c r="C78" s="72">
        <v>534.17999999999995</v>
      </c>
      <c r="D78" s="97"/>
      <c r="E78" s="72">
        <v>708.94</v>
      </c>
      <c r="F78" s="97"/>
      <c r="G78" s="72">
        <v>680.78</v>
      </c>
      <c r="H78" s="97"/>
      <c r="I78" s="97"/>
      <c r="J78" s="42">
        <f t="shared" si="2"/>
        <v>1923.8999999999999</v>
      </c>
    </row>
    <row r="79" spans="1:10" ht="16.5" thickBot="1">
      <c r="A79" s="74" t="s">
        <v>185</v>
      </c>
      <c r="B79" s="73" t="s">
        <v>174</v>
      </c>
      <c r="C79" s="72">
        <v>11.28</v>
      </c>
      <c r="D79" s="97"/>
      <c r="E79" s="72">
        <v>7.34</v>
      </c>
      <c r="F79" s="97"/>
      <c r="G79" s="72">
        <v>306.17</v>
      </c>
      <c r="H79" s="97"/>
      <c r="I79" s="97"/>
      <c r="J79" s="42">
        <f t="shared" si="2"/>
        <v>324.79000000000002</v>
      </c>
    </row>
    <row r="80" spans="1:10" ht="16.5" thickBot="1">
      <c r="A80" s="1" t="s">
        <v>65</v>
      </c>
      <c r="B80" s="36" t="s">
        <v>175</v>
      </c>
      <c r="C80" s="16">
        <v>19.12</v>
      </c>
      <c r="D80" s="7"/>
      <c r="E80" s="16">
        <v>0.66</v>
      </c>
      <c r="F80" s="7"/>
      <c r="G80" s="16">
        <v>0.69</v>
      </c>
      <c r="H80" s="7"/>
      <c r="I80" s="7"/>
      <c r="J80" s="42">
        <f t="shared" si="2"/>
        <v>20.470000000000002</v>
      </c>
    </row>
    <row r="81" spans="1:10" ht="16.5" thickBot="1">
      <c r="A81" s="48" t="s">
        <v>66</v>
      </c>
      <c r="B81" s="47" t="s">
        <v>176</v>
      </c>
      <c r="C81" s="46">
        <v>399.51</v>
      </c>
      <c r="D81" s="44"/>
      <c r="E81" s="46">
        <v>405.83</v>
      </c>
      <c r="F81" s="44"/>
      <c r="G81" s="46">
        <v>431.99</v>
      </c>
      <c r="H81" s="44"/>
      <c r="I81" s="44"/>
      <c r="J81" s="42">
        <f t="shared" si="2"/>
        <v>1237.33</v>
      </c>
    </row>
    <row r="82" spans="1:10" ht="16.5" thickBot="1">
      <c r="A82" s="1" t="s">
        <v>67</v>
      </c>
      <c r="B82" s="36" t="s">
        <v>177</v>
      </c>
      <c r="C82" s="16">
        <v>63.64</v>
      </c>
      <c r="D82" s="7"/>
      <c r="E82" s="16">
        <v>2.38</v>
      </c>
      <c r="F82" s="16">
        <v>-1200</v>
      </c>
      <c r="G82" s="16">
        <v>2.31</v>
      </c>
      <c r="H82" s="7"/>
      <c r="I82" s="7"/>
      <c r="J82" s="42">
        <f t="shared" si="2"/>
        <v>-1131.67</v>
      </c>
    </row>
    <row r="83" spans="1:10" ht="16.5" thickBot="1">
      <c r="A83" s="1" t="s">
        <v>68</v>
      </c>
      <c r="B83" s="36" t="s">
        <v>178</v>
      </c>
      <c r="C83" s="16">
        <v>144.6</v>
      </c>
      <c r="D83" s="7"/>
      <c r="E83" s="16">
        <v>329.96</v>
      </c>
      <c r="F83" s="7"/>
      <c r="G83" s="16">
        <v>354.32</v>
      </c>
      <c r="H83" s="16">
        <v>-828.88</v>
      </c>
      <c r="I83" s="7"/>
      <c r="J83" s="42">
        <f t="shared" si="2"/>
        <v>0</v>
      </c>
    </row>
    <row r="84" spans="1:10" ht="16.5" thickBot="1">
      <c r="A84" s="1" t="s">
        <v>184</v>
      </c>
      <c r="B84" s="36" t="s">
        <v>183</v>
      </c>
      <c r="C84" s="16">
        <v>0.27</v>
      </c>
      <c r="D84" s="7"/>
      <c r="E84" s="16">
        <v>0.28000000000000003</v>
      </c>
      <c r="F84" s="7"/>
      <c r="G84" s="16">
        <v>0.54</v>
      </c>
      <c r="H84" s="7"/>
      <c r="I84" s="7"/>
      <c r="J84" s="42">
        <f t="shared" si="2"/>
        <v>1.0900000000000001</v>
      </c>
    </row>
    <row r="85" spans="1:10" ht="16.5" thickBot="1">
      <c r="A85" s="48" t="s">
        <v>69</v>
      </c>
      <c r="B85" s="47" t="s">
        <v>155</v>
      </c>
      <c r="C85" s="46">
        <v>56.78</v>
      </c>
      <c r="D85" s="44"/>
      <c r="E85" s="46">
        <v>2.73</v>
      </c>
      <c r="F85" s="44"/>
      <c r="G85" s="46">
        <v>2.57</v>
      </c>
      <c r="H85" s="44"/>
      <c r="I85" s="44"/>
      <c r="J85" s="42">
        <f t="shared" si="2"/>
        <v>62.08</v>
      </c>
    </row>
    <row r="86" spans="1:10" ht="16.5" thickBot="1">
      <c r="A86" s="1" t="s">
        <v>70</v>
      </c>
      <c r="B86" s="36" t="s">
        <v>156</v>
      </c>
      <c r="C86" s="16">
        <v>20.48</v>
      </c>
      <c r="D86" s="7"/>
      <c r="E86" s="16">
        <v>3.42</v>
      </c>
      <c r="F86" s="7"/>
      <c r="G86" s="16">
        <v>3.61</v>
      </c>
      <c r="H86" s="7"/>
      <c r="I86" s="7"/>
      <c r="J86" s="42">
        <f t="shared" si="2"/>
        <v>27.509999999999998</v>
      </c>
    </row>
    <row r="87" spans="1:10" ht="16.5" thickBot="1">
      <c r="A87" s="1" t="s">
        <v>71</v>
      </c>
      <c r="B87" s="36" t="s">
        <v>157</v>
      </c>
      <c r="C87" s="16">
        <v>24.37</v>
      </c>
      <c r="D87" s="7"/>
      <c r="E87" s="16">
        <v>7.76</v>
      </c>
      <c r="F87" s="7"/>
      <c r="G87" s="16">
        <v>0</v>
      </c>
      <c r="H87" s="7"/>
      <c r="I87" s="7"/>
      <c r="J87" s="42">
        <f t="shared" si="2"/>
        <v>32.130000000000003</v>
      </c>
    </row>
    <row r="88" spans="1:10" ht="16.5" thickBot="1">
      <c r="A88" s="1" t="s">
        <v>72</v>
      </c>
      <c r="B88" s="36" t="s">
        <v>158</v>
      </c>
      <c r="C88" s="16">
        <v>79.8</v>
      </c>
      <c r="D88" s="7"/>
      <c r="E88" s="16">
        <v>3.66</v>
      </c>
      <c r="F88" s="7"/>
      <c r="G88" s="16">
        <v>3.63</v>
      </c>
      <c r="H88" s="7"/>
      <c r="I88" s="7"/>
      <c r="J88" s="42">
        <f t="shared" si="2"/>
        <v>87.089999999999989</v>
      </c>
    </row>
    <row r="89" spans="1:10" ht="16.5" thickBot="1">
      <c r="A89" s="1" t="s">
        <v>73</v>
      </c>
      <c r="B89" s="36" t="s">
        <v>159</v>
      </c>
      <c r="C89" s="16">
        <v>184.52</v>
      </c>
      <c r="D89" s="7"/>
      <c r="E89" s="16">
        <v>12.74</v>
      </c>
      <c r="F89" s="7"/>
      <c r="G89" s="16">
        <v>149.41</v>
      </c>
      <c r="H89" s="7"/>
      <c r="I89" s="7"/>
      <c r="J89" s="42">
        <f t="shared" si="2"/>
        <v>346.67</v>
      </c>
    </row>
    <row r="90" spans="1:10" ht="16.5" thickBot="1">
      <c r="A90" s="1" t="s">
        <v>74</v>
      </c>
      <c r="B90" s="36" t="s">
        <v>160</v>
      </c>
      <c r="C90" s="16">
        <v>0</v>
      </c>
      <c r="D90" s="7"/>
      <c r="E90" s="16">
        <v>0</v>
      </c>
      <c r="F90" s="7"/>
      <c r="G90" s="16">
        <v>0</v>
      </c>
      <c r="H90" s="7"/>
      <c r="I90" s="7"/>
      <c r="J90" s="42">
        <f t="shared" si="2"/>
        <v>0</v>
      </c>
    </row>
    <row r="91" spans="1:10" ht="16.5" thickBot="1">
      <c r="A91" s="1" t="s">
        <v>182</v>
      </c>
      <c r="B91" s="36" t="s">
        <v>161</v>
      </c>
      <c r="C91" s="16">
        <v>1055.1600000000001</v>
      </c>
      <c r="D91" s="7"/>
      <c r="E91" s="16">
        <v>5.9</v>
      </c>
      <c r="F91" s="7"/>
      <c r="G91" s="16">
        <v>0</v>
      </c>
      <c r="H91" s="7"/>
      <c r="I91" s="7"/>
      <c r="J91" s="42">
        <f t="shared" si="2"/>
        <v>1061.0600000000002</v>
      </c>
    </row>
    <row r="92" spans="1:10" ht="16.5" thickBot="1">
      <c r="A92" s="1" t="s">
        <v>75</v>
      </c>
      <c r="B92" s="36" t="s">
        <v>162</v>
      </c>
      <c r="C92" s="16">
        <v>45.48</v>
      </c>
      <c r="D92" s="7"/>
      <c r="E92" s="16">
        <v>13.18</v>
      </c>
      <c r="F92" s="7"/>
      <c r="G92" s="16">
        <v>2.27</v>
      </c>
      <c r="H92" s="7"/>
      <c r="I92" s="7"/>
      <c r="J92" s="42">
        <f t="shared" si="2"/>
        <v>60.93</v>
      </c>
    </row>
    <row r="93" spans="1:10" ht="16.5" thickBot="1">
      <c r="A93" s="1" t="s">
        <v>76</v>
      </c>
      <c r="B93" s="36" t="s">
        <v>203</v>
      </c>
      <c r="C93" s="16">
        <v>652.52</v>
      </c>
      <c r="D93" s="7"/>
      <c r="E93" s="16">
        <v>0.78</v>
      </c>
      <c r="F93" s="7"/>
      <c r="G93" s="16">
        <v>0</v>
      </c>
      <c r="H93" s="7"/>
      <c r="I93" s="7"/>
      <c r="J93" s="42">
        <f t="shared" si="2"/>
        <v>653.29999999999995</v>
      </c>
    </row>
    <row r="94" spans="1:10" ht="16.5" thickBot="1">
      <c r="A94" s="1" t="s">
        <v>77</v>
      </c>
      <c r="B94" s="36" t="s">
        <v>163</v>
      </c>
      <c r="C94" s="16">
        <v>0.43</v>
      </c>
      <c r="D94" s="7"/>
      <c r="E94" s="16">
        <v>0.57999999999999996</v>
      </c>
      <c r="F94" s="7"/>
      <c r="G94" s="16">
        <v>0</v>
      </c>
      <c r="H94" s="7"/>
      <c r="I94" s="7"/>
      <c r="J94" s="42">
        <f t="shared" si="2"/>
        <v>1.01</v>
      </c>
    </row>
    <row r="95" spans="1:10" ht="16.5" thickBot="1">
      <c r="A95" s="1" t="s">
        <v>78</v>
      </c>
      <c r="B95" s="36" t="s">
        <v>164</v>
      </c>
      <c r="C95" s="16">
        <v>84.19</v>
      </c>
      <c r="D95" s="7"/>
      <c r="E95" s="16">
        <v>0.85</v>
      </c>
      <c r="F95" s="7"/>
      <c r="G95" s="16">
        <v>0</v>
      </c>
      <c r="H95" s="7"/>
      <c r="I95" s="7"/>
      <c r="J95" s="42">
        <f t="shared" si="2"/>
        <v>85.039999999999992</v>
      </c>
    </row>
    <row r="96" spans="1:10" ht="16.5" thickBot="1">
      <c r="A96" s="1" t="s">
        <v>79</v>
      </c>
      <c r="B96" s="36" t="s">
        <v>99</v>
      </c>
      <c r="C96" s="16">
        <v>231.41</v>
      </c>
      <c r="D96" s="7"/>
      <c r="E96" s="16">
        <v>3.03</v>
      </c>
      <c r="F96" s="7"/>
      <c r="G96" s="16">
        <v>2.94</v>
      </c>
      <c r="H96" s="7"/>
      <c r="I96" s="7"/>
      <c r="J96" s="42">
        <f t="shared" si="2"/>
        <v>237.38</v>
      </c>
    </row>
    <row r="97" spans="1:10" ht="16.5" thickBot="1">
      <c r="A97" s="1" t="s">
        <v>80</v>
      </c>
      <c r="B97" s="36" t="s">
        <v>165</v>
      </c>
      <c r="C97" s="16">
        <v>58.46</v>
      </c>
      <c r="D97" s="7"/>
      <c r="E97" s="16">
        <v>40.909999999999997</v>
      </c>
      <c r="F97" s="7"/>
      <c r="G97" s="16">
        <v>53.39</v>
      </c>
      <c r="H97" s="7"/>
      <c r="I97" s="7"/>
      <c r="J97" s="42">
        <f t="shared" si="2"/>
        <v>152.76</v>
      </c>
    </row>
    <row r="98" spans="1:10" ht="16.5" thickBot="1">
      <c r="A98" s="48" t="s">
        <v>81</v>
      </c>
      <c r="B98" s="47" t="s">
        <v>166</v>
      </c>
      <c r="C98" s="46">
        <v>318.83999999999997</v>
      </c>
      <c r="D98" s="44"/>
      <c r="E98" s="46">
        <v>403.43</v>
      </c>
      <c r="F98" s="44"/>
      <c r="G98" s="46">
        <v>52.46</v>
      </c>
      <c r="H98" s="44"/>
      <c r="I98" s="44"/>
      <c r="J98" s="42">
        <f t="shared" si="2"/>
        <v>774.73</v>
      </c>
    </row>
    <row r="99" spans="1:10" ht="16.5" thickBot="1">
      <c r="A99" s="1" t="s">
        <v>82</v>
      </c>
      <c r="B99" s="36" t="s">
        <v>167</v>
      </c>
      <c r="C99" s="16">
        <v>222.02</v>
      </c>
      <c r="D99" s="7"/>
      <c r="E99" s="16">
        <v>5.21</v>
      </c>
      <c r="F99" s="7"/>
      <c r="G99" s="16">
        <v>3.44</v>
      </c>
      <c r="H99" s="7"/>
      <c r="I99" s="7"/>
      <c r="J99" s="42">
        <f t="shared" si="2"/>
        <v>230.67000000000002</v>
      </c>
    </row>
    <row r="100" spans="1:10" ht="15.75">
      <c r="A100" s="1" t="s">
        <v>83</v>
      </c>
      <c r="B100" s="36" t="s">
        <v>168</v>
      </c>
      <c r="C100" s="16">
        <v>0</v>
      </c>
      <c r="D100" s="7"/>
      <c r="E100" s="16">
        <v>0</v>
      </c>
      <c r="F100" s="7"/>
      <c r="G100" s="16">
        <v>0</v>
      </c>
      <c r="H100" s="7"/>
      <c r="I100" s="7"/>
      <c r="J100" s="42">
        <f t="shared" si="2"/>
        <v>0</v>
      </c>
    </row>
    <row r="101" spans="1:10">
      <c r="C101" s="8"/>
      <c r="D101" s="8"/>
      <c r="E101" s="8"/>
      <c r="F101" s="8"/>
      <c r="G101" s="8"/>
      <c r="H101" s="8"/>
      <c r="I101" s="8"/>
    </row>
    <row r="102" spans="1:10">
      <c r="C102" s="9"/>
      <c r="D102" s="9"/>
      <c r="E102" s="9"/>
      <c r="F102" s="9"/>
      <c r="G102" s="9"/>
      <c r="H102" s="9"/>
      <c r="I102" s="9"/>
    </row>
    <row r="103" spans="1:10">
      <c r="C103" s="8"/>
      <c r="D103" s="8"/>
      <c r="E103" s="8"/>
      <c r="F103" s="8"/>
      <c r="G103" s="8"/>
      <c r="H103" s="8"/>
      <c r="I103" s="8"/>
    </row>
    <row r="104" spans="1:10">
      <c r="C104" s="8"/>
      <c r="D104" s="8"/>
      <c r="E104" s="8"/>
      <c r="F104" s="8"/>
      <c r="G104" s="8"/>
      <c r="H104" s="8"/>
      <c r="I104" s="8"/>
    </row>
    <row r="105" spans="1:10">
      <c r="C105"/>
      <c r="D105"/>
      <c r="E105"/>
      <c r="F105"/>
    </row>
    <row r="106" spans="1:10">
      <c r="C106"/>
      <c r="D106"/>
      <c r="E106"/>
      <c r="F106"/>
    </row>
    <row r="107" spans="1:10">
      <c r="C107"/>
      <c r="D107"/>
      <c r="E107"/>
      <c r="F107"/>
    </row>
    <row r="108" spans="1:10">
      <c r="C108" s="8"/>
      <c r="D108" s="8"/>
      <c r="E108" s="8"/>
      <c r="F108" s="8"/>
      <c r="G108" s="8"/>
      <c r="H108" s="8"/>
      <c r="I108" s="8"/>
    </row>
    <row r="109" spans="1:10">
      <c r="C109" s="8"/>
      <c r="D109" s="8"/>
      <c r="E109" s="8"/>
      <c r="F109" s="8"/>
      <c r="G109" s="8"/>
      <c r="H109" s="8"/>
      <c r="I109" s="8"/>
    </row>
    <row r="110" spans="1:10">
      <c r="C110" s="9"/>
      <c r="D110" s="9"/>
      <c r="E110" s="9"/>
      <c r="F110" s="9"/>
      <c r="G110" s="9"/>
      <c r="H110" s="9"/>
      <c r="I110" s="9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Взносы</vt:lpstr>
      <vt:lpstr>свод по электричеству</vt:lpstr>
      <vt:lpstr>2017</vt:lpstr>
      <vt:lpstr>2016</vt:lpstr>
      <vt:lpstr>2015</vt:lpstr>
      <vt:lpstr>2014</vt:lpstr>
      <vt:lpstr>2013</vt:lpstr>
      <vt:lpstr>2012</vt:lpstr>
      <vt:lpstr>2011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dcterms:created xsi:type="dcterms:W3CDTF">2016-07-10T09:29:41Z</dcterms:created>
  <dcterms:modified xsi:type="dcterms:W3CDTF">2018-10-23T09:51:31Z</dcterms:modified>
</cp:coreProperties>
</file>